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! МУНИЦИПАЛЬНЫЕ ПРОГРАММЫ НА 2026- 2028 ГОДЫ\09     № 897 от 10.11.2025           Транспорт\"/>
    </mc:Choice>
  </mc:AlternateContent>
  <bookViews>
    <workbookView xWindow="0" yWindow="0" windowWidth="27855" windowHeight="12885" tabRatio="899" activeTab="11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ПП2'!$A$10:$M$18</definedName>
    <definedName name="_xlnm._FilterDatabase" localSheetId="6" hidden="1">'+пр к ПП3'!$A$10:$M$15</definedName>
    <definedName name="_xlnm._FilterDatabase" localSheetId="8" hidden="1">'+пр к ПП4'!$A$10:$M$15</definedName>
    <definedName name="_xlnm._FilterDatabase" localSheetId="2" hidden="1">'пр к ПП1'!$A$10:$M$34</definedName>
    <definedName name="_xlnm.Print_Titles" localSheetId="3">'+ пр к пасп ПП2'!$11:$13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ПП1'!$9:$11</definedName>
    <definedName name="_xlnm.Print_Titles" localSheetId="2">'пр к ПП1'!$10:$12</definedName>
    <definedName name="_xlnm.Print_Area" localSheetId="3">'+ пр к пасп ПП2'!$A$1:$G$30</definedName>
    <definedName name="_xlnm.Print_Area" localSheetId="5">'+ пр к пасп ПП3'!$A$1:$G$19</definedName>
    <definedName name="_xlnm.Print_Area" localSheetId="4">'+ пр к ПП2'!$A$1:$M$44</definedName>
    <definedName name="_xlnm.Print_Area" localSheetId="10">'+ Приложение 6'!$A$1:$L$38</definedName>
    <definedName name="_xlnm.Print_Area" localSheetId="11">'+ Приложение 7'!$A$1:$J$51</definedName>
    <definedName name="_xlnm.Print_Area" localSheetId="6">'+пр к ПП3'!$A$1:$M$27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пасп'!$A$1:$H$37</definedName>
    <definedName name="_xlnm.Print_Area" localSheetId="1">'пр к пасп ПП1'!$A$1:$G$17</definedName>
    <definedName name="_xlnm.Print_Area" localSheetId="2">'пр к ПП1'!$A$1:$M$45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6" l="1"/>
  <c r="F48" i="6" l="1"/>
  <c r="G48" i="6"/>
  <c r="G49" i="6"/>
  <c r="E48" i="6"/>
  <c r="G23" i="5"/>
  <c r="H23" i="5"/>
  <c r="F23" i="5"/>
  <c r="E23" i="5"/>
  <c r="D23" i="5"/>
  <c r="I40" i="8"/>
  <c r="I25" i="5" s="1"/>
  <c r="I44" i="8"/>
  <c r="I42" i="8"/>
  <c r="J38" i="5"/>
  <c r="K38" i="5"/>
  <c r="I38" i="5"/>
  <c r="D2" i="3" l="1"/>
  <c r="J23" i="17"/>
  <c r="K24" i="17"/>
  <c r="J23" i="8" l="1"/>
  <c r="K23" i="8"/>
  <c r="I23" i="8"/>
  <c r="K17" i="17" l="1"/>
  <c r="L42" i="15"/>
  <c r="L33" i="15"/>
  <c r="L29" i="15"/>
  <c r="L17" i="8" l="1"/>
  <c r="L18" i="8"/>
  <c r="L19" i="8"/>
  <c r="L20" i="8"/>
  <c r="L21" i="8"/>
  <c r="L22" i="8"/>
  <c r="L16" i="8"/>
  <c r="L23" i="8" s="1"/>
  <c r="L34" i="8"/>
  <c r="L32" i="8"/>
  <c r="L31" i="8"/>
  <c r="I30" i="8"/>
  <c r="J30" i="8"/>
  <c r="K30" i="8"/>
  <c r="L25" i="8"/>
  <c r="L26" i="8"/>
  <c r="L27" i="8"/>
  <c r="L28" i="8"/>
  <c r="L29" i="8"/>
  <c r="L24" i="8"/>
  <c r="L30" i="8" l="1"/>
  <c r="O30" i="8"/>
  <c r="J33" i="8"/>
  <c r="K33" i="8"/>
  <c r="I33" i="8"/>
  <c r="O23" i="8" l="1"/>
  <c r="J43" i="15"/>
  <c r="K43" i="15"/>
  <c r="L43" i="15"/>
  <c r="I43" i="15"/>
  <c r="L34" i="15"/>
  <c r="J34" i="15"/>
  <c r="K34" i="15"/>
  <c r="I34" i="15"/>
  <c r="L30" i="15"/>
  <c r="J30" i="15"/>
  <c r="K30" i="15"/>
  <c r="I30" i="15"/>
  <c r="I26" i="15"/>
  <c r="K24" i="15"/>
  <c r="K25" i="15" s="1"/>
  <c r="J24" i="15"/>
  <c r="J25" i="15" s="1"/>
  <c r="I24" i="15"/>
  <c r="I25" i="15" s="1"/>
  <c r="I22" i="15"/>
  <c r="I21" i="15"/>
  <c r="I20" i="15"/>
  <c r="J20" i="15" s="1"/>
  <c r="K20" i="15" s="1"/>
  <c r="I19" i="15"/>
  <c r="I16" i="15"/>
  <c r="I18" i="15"/>
  <c r="N34" i="15" l="1"/>
  <c r="L25" i="15"/>
  <c r="N25" i="15"/>
  <c r="J18" i="15"/>
  <c r="I23" i="15"/>
  <c r="N30" i="15"/>
  <c r="N43" i="15"/>
  <c r="J16" i="15"/>
  <c r="J17" i="15" s="1"/>
  <c r="I17" i="15"/>
  <c r="L24" i="15"/>
  <c r="I27" i="15"/>
  <c r="J26" i="15"/>
  <c r="L20" i="15"/>
  <c r="K18" i="15"/>
  <c r="J21" i="15"/>
  <c r="K21" i="15" s="1"/>
  <c r="J19" i="15"/>
  <c r="J22" i="15"/>
  <c r="K22" i="15" s="1"/>
  <c r="J23" i="15" l="1"/>
  <c r="L18" i="15"/>
  <c r="K23" i="15"/>
  <c r="K19" i="15"/>
  <c r="L19" i="15"/>
  <c r="K26" i="15"/>
  <c r="L26" i="15" s="1"/>
  <c r="J27" i="15"/>
  <c r="L22" i="15"/>
  <c r="L21" i="15"/>
  <c r="L23" i="15" l="1"/>
  <c r="N23" i="15" s="1"/>
  <c r="K27" i="15"/>
  <c r="L27" i="15"/>
  <c r="N27" i="15" l="1"/>
  <c r="J44" i="8"/>
  <c r="K44" i="8"/>
  <c r="L43" i="8" l="1"/>
  <c r="L44" i="8" s="1"/>
  <c r="B42" i="15" l="1"/>
  <c r="D49" i="6"/>
  <c r="D42" i="6"/>
  <c r="D35" i="6"/>
  <c r="D28" i="6"/>
  <c r="K20" i="5" l="1"/>
  <c r="D38" i="5"/>
  <c r="D37" i="5"/>
  <c r="D34" i="5"/>
  <c r="D33" i="5"/>
  <c r="D30" i="5"/>
  <c r="D29" i="5"/>
  <c r="D28" i="5"/>
  <c r="D25" i="5"/>
  <c r="D24" i="5"/>
  <c r="I3" i="5"/>
  <c r="J30" i="5"/>
  <c r="K30" i="5"/>
  <c r="I30" i="5"/>
  <c r="J29" i="5"/>
  <c r="K29" i="5"/>
  <c r="I29" i="5"/>
  <c r="L30" i="5" l="1"/>
  <c r="L29" i="5"/>
  <c r="A13" i="16"/>
  <c r="A31" i="15"/>
  <c r="B21" i="2" l="1"/>
  <c r="B18" i="2"/>
  <c r="F8" i="20" l="1"/>
  <c r="G8" i="20" s="1"/>
  <c r="F14" i="6" l="1"/>
  <c r="G14" i="6" s="1"/>
  <c r="J24" i="5"/>
  <c r="K24" i="5"/>
  <c r="A9" i="3"/>
  <c r="B15" i="3"/>
  <c r="A10" i="20"/>
  <c r="J11" i="17"/>
  <c r="K11" i="17" s="1"/>
  <c r="L25" i="16"/>
  <c r="L23" i="16"/>
  <c r="J11" i="16"/>
  <c r="K11" i="16" s="1"/>
  <c r="F17" i="19"/>
  <c r="G17" i="19"/>
  <c r="E17" i="19"/>
  <c r="F18" i="19"/>
  <c r="G18" i="19"/>
  <c r="E18" i="19"/>
  <c r="A14" i="18"/>
  <c r="F17" i="18"/>
  <c r="G17" i="18"/>
  <c r="E17" i="18"/>
  <c r="K18" i="5" l="1"/>
  <c r="E20" i="2" l="1"/>
  <c r="F20" i="2"/>
  <c r="G20" i="2"/>
  <c r="H20" i="2"/>
  <c r="D20" i="2"/>
  <c r="O20" i="2"/>
  <c r="M21" i="2"/>
  <c r="H32" i="2"/>
  <c r="H22" i="2" s="1"/>
  <c r="G32" i="2"/>
  <c r="E30" i="2"/>
  <c r="F19" i="18" s="1"/>
  <c r="F30" i="2"/>
  <c r="G19" i="18" s="1"/>
  <c r="G30" i="2"/>
  <c r="H30" i="2"/>
  <c r="D30" i="2"/>
  <c r="E19" i="18" s="1"/>
  <c r="E24" i="2"/>
  <c r="F18" i="18" s="1"/>
  <c r="F24" i="2"/>
  <c r="G18" i="18" s="1"/>
  <c r="G24" i="2"/>
  <c r="G22" i="2" s="1"/>
  <c r="H24" i="2"/>
  <c r="D24" i="2"/>
  <c r="E18" i="18" s="1"/>
  <c r="D22" i="2" l="1"/>
  <c r="E22" i="2"/>
  <c r="F22" i="2"/>
  <c r="K16" i="15"/>
  <c r="L16" i="15" s="1"/>
  <c r="K17" i="15" l="1"/>
  <c r="L17" i="15"/>
  <c r="J18" i="6"/>
  <c r="J25" i="6"/>
  <c r="J26" i="6"/>
  <c r="J29" i="6"/>
  <c r="J30" i="6"/>
  <c r="J32" i="6"/>
  <c r="J33" i="6"/>
  <c r="J34" i="6"/>
  <c r="J36" i="6"/>
  <c r="J37" i="6"/>
  <c r="J39" i="6"/>
  <c r="J40" i="6"/>
  <c r="J43" i="6"/>
  <c r="J44" i="6"/>
  <c r="J46" i="6"/>
  <c r="J47" i="6"/>
  <c r="J50" i="6"/>
  <c r="J51" i="6"/>
  <c r="N17" i="15" l="1"/>
  <c r="I23" i="17"/>
  <c r="L23" i="17" l="1"/>
  <c r="E16" i="6"/>
  <c r="I14" i="5"/>
  <c r="G19" i="6"/>
  <c r="G22" i="6"/>
  <c r="G23" i="6"/>
  <c r="K26" i="16"/>
  <c r="K24" i="16"/>
  <c r="K22" i="16"/>
  <c r="K20" i="16"/>
  <c r="L21" i="16"/>
  <c r="L19" i="16"/>
  <c r="K18" i="16"/>
  <c r="L17" i="16"/>
  <c r="L16" i="16"/>
  <c r="K27" i="16" l="1"/>
  <c r="I24" i="5"/>
  <c r="I35" i="8"/>
  <c r="J41" i="8"/>
  <c r="L24" i="5" l="1"/>
  <c r="I23" i="5"/>
  <c r="I45" i="8"/>
  <c r="E28" i="6"/>
  <c r="E24" i="6" s="1"/>
  <c r="K41" i="8"/>
  <c r="L41" i="8" s="1"/>
  <c r="G42" i="6"/>
  <c r="I21" i="5" l="1"/>
  <c r="L33" i="8"/>
  <c r="O24" i="6"/>
  <c r="I47" i="5"/>
  <c r="I53" i="5"/>
  <c r="G45" i="6"/>
  <c r="G16" i="7"/>
  <c r="A15" i="18"/>
  <c r="K37" i="5"/>
  <c r="K35" i="5" s="1"/>
  <c r="P35" i="5" s="1"/>
  <c r="K40" i="15"/>
  <c r="K37" i="15"/>
  <c r="K44" i="15" s="1"/>
  <c r="O33" i="8" l="1"/>
  <c r="Q45" i="6"/>
  <c r="L36" i="15"/>
  <c r="E16" i="19" l="1"/>
  <c r="F16" i="19"/>
  <c r="J26" i="16" l="1"/>
  <c r="I26" i="16"/>
  <c r="L26" i="16" s="1"/>
  <c r="L39" i="15"/>
  <c r="J11" i="15"/>
  <c r="K11" i="15" s="1"/>
  <c r="K42" i="8" l="1"/>
  <c r="J42" i="8"/>
  <c r="L42" i="8" s="1"/>
  <c r="K35" i="8"/>
  <c r="K23" i="5" s="1"/>
  <c r="J35" i="8"/>
  <c r="J23" i="5" s="1"/>
  <c r="L23" i="5" l="1"/>
  <c r="L35" i="8"/>
  <c r="O35" i="8"/>
  <c r="E66" i="6" l="1"/>
  <c r="E60" i="6"/>
  <c r="I16" i="17"/>
  <c r="J16" i="17"/>
  <c r="E49" i="6" l="1"/>
  <c r="I24" i="17"/>
  <c r="I37" i="5" s="1"/>
  <c r="J17" i="17"/>
  <c r="F49" i="6"/>
  <c r="J24" i="17"/>
  <c r="I17" i="17"/>
  <c r="L16" i="17"/>
  <c r="E27" i="6"/>
  <c r="F27" i="6"/>
  <c r="L17" i="17" l="1"/>
  <c r="L24" i="17"/>
  <c r="N17" i="17"/>
  <c r="J12" i="5"/>
  <c r="K12" i="5" s="1"/>
  <c r="J40" i="15"/>
  <c r="I40" i="15"/>
  <c r="L40" i="15"/>
  <c r="J37" i="15"/>
  <c r="J44" i="15" s="1"/>
  <c r="I37" i="15"/>
  <c r="L37" i="15"/>
  <c r="L44" i="15" l="1"/>
  <c r="L28" i="5" s="1"/>
  <c r="I44" i="15"/>
  <c r="N44" i="15" s="1"/>
  <c r="L38" i="8"/>
  <c r="G27" i="6" s="1"/>
  <c r="L39" i="8"/>
  <c r="L26" i="5" l="1"/>
  <c r="H27" i="6"/>
  <c r="J27" i="6"/>
  <c r="N21" i="5" l="1"/>
  <c r="E41" i="6" l="1"/>
  <c r="F41" i="6"/>
  <c r="J24" i="16"/>
  <c r="I24" i="16"/>
  <c r="L24" i="16" s="1"/>
  <c r="G41" i="6"/>
  <c r="J41" i="6" l="1"/>
  <c r="G38" i="6"/>
  <c r="Q38" i="6" s="1"/>
  <c r="G20" i="6"/>
  <c r="C17" i="6" l="1"/>
  <c r="B6" i="25" l="1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J40" i="8" l="1"/>
  <c r="K40" i="8"/>
  <c r="L37" i="8"/>
  <c r="I24" i="22" s="1"/>
  <c r="K45" i="8" l="1"/>
  <c r="G28" i="6" s="1"/>
  <c r="K25" i="5"/>
  <c r="J45" i="8"/>
  <c r="F28" i="6" s="1"/>
  <c r="J25" i="5"/>
  <c r="H28" i="6" l="1"/>
  <c r="F24" i="6"/>
  <c r="J28" i="6"/>
  <c r="L25" i="5"/>
  <c r="L21" i="5" s="1"/>
  <c r="J21" i="5"/>
  <c r="K21" i="5"/>
  <c r="P21" i="5" s="1"/>
  <c r="K19" i="5"/>
  <c r="E10" i="21"/>
  <c r="E11" i="21"/>
  <c r="E12" i="21"/>
  <c r="E9" i="21"/>
  <c r="F7" i="21"/>
  <c r="G7" i="21"/>
  <c r="P24" i="6" l="1"/>
  <c r="E8" i="21"/>
  <c r="F25" i="22"/>
  <c r="I25" i="22"/>
  <c r="O21" i="5" l="1"/>
  <c r="G4" i="22" l="1"/>
  <c r="H4" i="22"/>
  <c r="F4" i="22"/>
  <c r="E19" i="6"/>
  <c r="F19" i="6"/>
  <c r="E22" i="6"/>
  <c r="F22" i="6"/>
  <c r="E23" i="6"/>
  <c r="F23" i="6"/>
  <c r="E42" i="6"/>
  <c r="F42" i="6"/>
  <c r="H49" i="6"/>
  <c r="H51" i="6"/>
  <c r="H50" i="6"/>
  <c r="H47" i="6"/>
  <c r="H44" i="6"/>
  <c r="H43" i="6"/>
  <c r="H40" i="6"/>
  <c r="H37" i="6"/>
  <c r="H36" i="6"/>
  <c r="H34" i="6"/>
  <c r="H33" i="6"/>
  <c r="H30" i="6"/>
  <c r="H29" i="6"/>
  <c r="H26" i="6"/>
  <c r="F17" i="7"/>
  <c r="G17" i="7" s="1"/>
  <c r="J42" i="6" l="1"/>
  <c r="J48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E45" i="6"/>
  <c r="F45" i="6"/>
  <c r="F20" i="6"/>
  <c r="H41" i="6"/>
  <c r="H42" i="6"/>
  <c r="E20" i="6"/>
  <c r="F38" i="6"/>
  <c r="E38" i="6"/>
  <c r="H48" i="6"/>
  <c r="H45" i="6" l="1"/>
  <c r="F15" i="21"/>
  <c r="G15" i="21"/>
  <c r="E15" i="21"/>
  <c r="B15" i="21"/>
  <c r="H15" i="21" l="1"/>
  <c r="F6" i="25" l="1"/>
  <c r="G6" i="25"/>
  <c r="J22" i="16" l="1"/>
  <c r="I22" i="16"/>
  <c r="L22" i="16" s="1"/>
  <c r="E8" i="25" l="1"/>
  <c r="E7" i="25"/>
  <c r="E6" i="25" l="1"/>
  <c r="E7" i="21"/>
  <c r="H7" i="21" s="1"/>
  <c r="H8" i="25" l="1"/>
  <c r="L36" i="8"/>
  <c r="I23" i="22" l="1"/>
  <c r="L40" i="8"/>
  <c r="L45" i="8" s="1"/>
  <c r="H7" i="25"/>
  <c r="H6" i="25" s="1"/>
  <c r="J18" i="5" l="1"/>
  <c r="G24" i="6"/>
  <c r="Q24" i="6" s="1"/>
  <c r="I18" i="5"/>
  <c r="H24" i="6" l="1"/>
  <c r="R24" i="6" s="1"/>
  <c r="H60" i="6"/>
  <c r="I24" i="6"/>
  <c r="L38" i="5"/>
  <c r="L18" i="5" s="1"/>
  <c r="F8" i="24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20" i="16" l="1"/>
  <c r="J20" i="16"/>
  <c r="I18" i="16"/>
  <c r="J18" i="16"/>
  <c r="L18" i="16" l="1"/>
  <c r="L20" i="16"/>
  <c r="J33" i="5"/>
  <c r="J19" i="5" s="1"/>
  <c r="J27" i="16"/>
  <c r="J31" i="5" s="1"/>
  <c r="P38" i="6" s="1"/>
  <c r="I33" i="5"/>
  <c r="I19" i="5" s="1"/>
  <c r="I27" i="16"/>
  <c r="I31" i="5" l="1"/>
  <c r="O38" i="6" s="1"/>
  <c r="L27" i="16"/>
  <c r="L33" i="5"/>
  <c r="L19" i="5" s="1"/>
  <c r="L31" i="5"/>
  <c r="E14" i="24"/>
  <c r="E15" i="24" s="1"/>
  <c r="F14" i="24"/>
  <c r="F15" i="24" s="1"/>
  <c r="E62" i="6"/>
  <c r="E68" i="6"/>
  <c r="F62" i="6"/>
  <c r="F68" i="6"/>
  <c r="G14" i="24"/>
  <c r="G15" i="24" s="1"/>
  <c r="H14" i="24" l="1"/>
  <c r="H15" i="24" s="1"/>
  <c r="J49" i="6" l="1"/>
  <c r="E5" i="25"/>
  <c r="E9" i="25" s="1"/>
  <c r="F66" i="6" l="1"/>
  <c r="F60" i="6"/>
  <c r="I68" i="6"/>
  <c r="I67" i="6"/>
  <c r="F5" i="25" l="1"/>
  <c r="F9" i="25" s="1"/>
  <c r="E63" i="6" l="1"/>
  <c r="E69" i="6"/>
  <c r="G5" i="25"/>
  <c r="G9" i="2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J37" i="5" l="1"/>
  <c r="H63" i="6"/>
  <c r="F69" i="6"/>
  <c r="I7" i="22"/>
  <c r="I11" i="22"/>
  <c r="I6" i="22"/>
  <c r="H5" i="25"/>
  <c r="H9" i="25" s="1"/>
  <c r="P5" i="22"/>
  <c r="P13" i="22"/>
  <c r="L37" i="5" l="1"/>
  <c r="L17" i="5" s="1"/>
  <c r="J35" i="5"/>
  <c r="P45" i="6" s="1"/>
  <c r="F63" i="6"/>
  <c r="I35" i="5"/>
  <c r="O45" i="6" s="1"/>
  <c r="L35" i="5"/>
  <c r="G28" i="22"/>
  <c r="I10" i="22"/>
  <c r="J50" i="5"/>
  <c r="Q35" i="5" l="1"/>
  <c r="R45" i="6"/>
  <c r="O35" i="5"/>
  <c r="J56" i="5"/>
  <c r="N35" i="5"/>
  <c r="I56" i="5"/>
  <c r="I50" i="5"/>
  <c r="F5" i="2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H5" i="24"/>
  <c r="H12" i="24" s="1"/>
  <c r="H14" i="21"/>
  <c r="H13" i="21"/>
  <c r="E29" i="5"/>
  <c r="E38" i="5" s="1"/>
  <c r="E34" i="5"/>
  <c r="I34" i="5"/>
  <c r="I20" i="5" s="1"/>
  <c r="J34" i="5"/>
  <c r="J20" i="5" s="1"/>
  <c r="H38" i="6" l="1"/>
  <c r="R38" i="6" s="1"/>
  <c r="L34" i="5"/>
  <c r="L20" i="5" s="1"/>
  <c r="L15" i="5" s="1"/>
  <c r="H62" i="6" l="1"/>
  <c r="H68" i="6"/>
  <c r="I55" i="5"/>
  <c r="I49" i="5"/>
  <c r="J55" i="5"/>
  <c r="J49" i="5"/>
  <c r="H20" i="6" l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4" i="7"/>
  <c r="A13" i="7"/>
  <c r="G10" i="21" l="1"/>
  <c r="G8" i="21" s="1"/>
  <c r="G16" i="21" s="1"/>
  <c r="F8" i="21"/>
  <c r="H9" i="21"/>
  <c r="H12" i="21"/>
  <c r="H11" i="21"/>
  <c r="J20" i="6"/>
  <c r="H21" i="22"/>
  <c r="L47" i="5" l="1"/>
  <c r="H26" i="22"/>
  <c r="I13" i="22"/>
  <c r="H10" i="21"/>
  <c r="H8" i="21"/>
  <c r="H16" i="21" s="1"/>
  <c r="F16" i="21"/>
  <c r="G16" i="19"/>
  <c r="I21" i="22"/>
  <c r="B31" i="3" l="1"/>
  <c r="B35" i="2" l="1"/>
  <c r="B33" i="2"/>
  <c r="J38" i="6" l="1"/>
  <c r="J24" i="6"/>
  <c r="K24" i="6" s="1"/>
  <c r="E33" i="5" l="1"/>
  <c r="A15" i="19"/>
  <c r="B21" i="3"/>
  <c r="H23" i="6" l="1"/>
  <c r="J23" i="6"/>
  <c r="H22" i="6"/>
  <c r="J22" i="6"/>
  <c r="C45" i="6"/>
  <c r="C38" i="6"/>
  <c r="C31" i="6"/>
  <c r="C24" i="6"/>
  <c r="E28" i="5"/>
  <c r="E37" i="5" s="1"/>
  <c r="E25" i="5"/>
  <c r="E30" i="5" s="1"/>
  <c r="E24" i="5"/>
  <c r="L16" i="5"/>
  <c r="L22" i="5"/>
  <c r="L27" i="5"/>
  <c r="L32" i="5"/>
  <c r="L36" i="5"/>
  <c r="J19" i="6" l="1"/>
  <c r="H19" i="6"/>
  <c r="K38" i="6"/>
  <c r="A12" i="20"/>
  <c r="A11" i="20"/>
  <c r="I29" i="22"/>
  <c r="H66" i="6" l="1"/>
  <c r="J53" i="5"/>
  <c r="J47" i="5"/>
  <c r="I22" i="22"/>
  <c r="I26" i="22" s="1"/>
  <c r="I30" i="22"/>
  <c r="I66" i="6" l="1"/>
  <c r="I38" i="6"/>
  <c r="L55" i="5"/>
  <c r="L49" i="5"/>
  <c r="L53" i="5"/>
  <c r="J45" i="6"/>
  <c r="K45" i="6" s="1"/>
  <c r="I45" i="6" l="1"/>
  <c r="L50" i="5"/>
  <c r="L56" i="5"/>
  <c r="H69" i="6" l="1"/>
  <c r="I69" i="6" l="1"/>
  <c r="I28" i="5"/>
  <c r="I17" i="5" l="1"/>
  <c r="I15" i="5" s="1"/>
  <c r="N15" i="5" s="1"/>
  <c r="I26" i="5"/>
  <c r="F19" i="21"/>
  <c r="E35" i="6"/>
  <c r="E21" i="6" l="1"/>
  <c r="E31" i="6"/>
  <c r="O31" i="6" s="1"/>
  <c r="I54" i="5"/>
  <c r="I48" i="5"/>
  <c r="N26" i="5"/>
  <c r="O17" i="6" l="1"/>
  <c r="E67" i="6"/>
  <c r="E61" i="6"/>
  <c r="K28" i="5"/>
  <c r="K17" i="5" s="1"/>
  <c r="J28" i="5"/>
  <c r="J17" i="5" l="1"/>
  <c r="J15" i="5" s="1"/>
  <c r="O15" i="5" s="1"/>
  <c r="M28" i="5"/>
  <c r="H35" i="6"/>
  <c r="J26" i="5"/>
  <c r="F35" i="6"/>
  <c r="H19" i="21"/>
  <c r="G19" i="21"/>
  <c r="G35" i="6"/>
  <c r="H31" i="6" l="1"/>
  <c r="H21" i="6"/>
  <c r="H17" i="6" s="1"/>
  <c r="J35" i="6"/>
  <c r="F31" i="6"/>
  <c r="P31" i="6" s="1"/>
  <c r="F21" i="6"/>
  <c r="F17" i="6" s="1"/>
  <c r="P17" i="6" s="1"/>
  <c r="R31" i="6"/>
  <c r="K15" i="5"/>
  <c r="P15" i="5" s="1"/>
  <c r="K26" i="5"/>
  <c r="P26" i="5" s="1"/>
  <c r="G31" i="6"/>
  <c r="G21" i="6"/>
  <c r="G17" i="6" s="1"/>
  <c r="H67" i="6"/>
  <c r="H61" i="6"/>
  <c r="O26" i="5"/>
  <c r="J48" i="5"/>
  <c r="J54" i="5"/>
  <c r="Q15" i="5" l="1"/>
  <c r="I17" i="6"/>
  <c r="Q31" i="6"/>
  <c r="R17" i="6"/>
  <c r="Q17" i="6"/>
  <c r="J17" i="6"/>
  <c r="J21" i="6"/>
  <c r="J31" i="6"/>
  <c r="K31" i="6" s="1"/>
  <c r="L48" i="5"/>
  <c r="L54" i="5"/>
  <c r="I31" i="6"/>
  <c r="F67" i="6"/>
  <c r="F61" i="6"/>
  <c r="K17" i="6" l="1"/>
  <c r="A14" i="19"/>
</calcChain>
</file>

<file path=xl/sharedStrings.xml><?xml version="1.0" encoding="utf-8"?>
<sst xmlns="http://schemas.openxmlformats.org/spreadsheetml/2006/main" count="1050" uniqueCount="415">
  <si>
    <t>ИНФОРМАЦИЯ</t>
  </si>
  <si>
    <t>ПЕРЕЧЕНЬ</t>
  </si>
  <si>
    <t>Единица измерения</t>
  </si>
  <si>
    <t>1.1.</t>
  </si>
  <si>
    <t>с указанием планируемых к достижению значений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</si>
  <si>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</si>
  <si>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</si>
  <si>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</si>
  <si>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</si>
  <si>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</si>
  <si>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</si>
  <si>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</si>
  <si>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</si>
  <si>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</si>
  <si>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</si>
  <si>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</si>
  <si>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</si>
  <si>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</si>
  <si>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</si>
  <si>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</si>
  <si>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</si>
  <si>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</si>
  <si>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</si>
  <si>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</si>
  <si>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</si>
  <si>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</si>
  <si>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</si>
  <si>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</si>
  <si>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внебюджетных фондов</t>
  </si>
  <si>
    <t>всего</t>
  </si>
  <si>
    <t>Уровень бюджетной системы / источники финансирования</t>
  </si>
  <si>
    <t>об источниках финансирования подпрограмм, отдельных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</si>
  <si>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</si>
  <si>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</si>
  <si>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</si>
  <si>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</si>
  <si>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</si>
  <si>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</si>
  <si>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</si>
  <si>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</si>
  <si>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</si>
  <si>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2019 год</t>
  </si>
  <si>
    <t>2030 год</t>
  </si>
  <si>
    <t>0409</t>
  </si>
  <si>
    <t>0408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</si>
  <si>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</si>
  <si>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</si>
  <si>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</si>
  <si>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</si>
  <si>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</si>
  <si>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</si>
  <si>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</si>
  <si>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</si>
  <si>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</si>
  <si>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тыс. чел.</t>
  </si>
  <si>
    <t>отчетность исполнителя программных мероприятий</t>
  </si>
  <si>
    <t>тыс.чел.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</si>
  <si>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</si>
  <si>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</si>
  <si>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</si>
  <si>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</si>
  <si>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</si>
  <si>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</si>
  <si>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</si>
  <si>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</si>
  <si>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Подпрограмма 2</t>
  </si>
  <si>
    <t>Подпрограмма 3</t>
  </si>
  <si>
    <t>Подпрограмма 4</t>
  </si>
  <si>
    <t>и значения показателей результативности подпрограммы 1</t>
  </si>
  <si>
    <t>федеральный бюджет</t>
  </si>
  <si>
    <t>краевой бюджет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</si>
  <si>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</si>
  <si>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</si>
  <si>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</si>
  <si>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приказ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</si>
  <si>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</si>
  <si>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</si>
  <si>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</si>
  <si>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</si>
  <si>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</si>
  <si>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поездок / человек</t>
  </si>
  <si>
    <t>среднегодовая численность населения</t>
  </si>
  <si>
    <t>1.1.1.</t>
  </si>
  <si>
    <t>2.1.1.</t>
  </si>
  <si>
    <t>3.1.1.</t>
  </si>
  <si>
    <t>2.1.2.</t>
  </si>
  <si>
    <t>4.1.1.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</si>
  <si>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</si>
  <si>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</si>
  <si>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</si>
  <si>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</si>
  <si>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</si>
  <si>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</si>
  <si>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</si>
  <si>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</si>
  <si>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</si>
  <si>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перевезено пассажиров авиа</t>
  </si>
  <si>
    <t>перевезено пассажиров авто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</si>
  <si>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</si>
  <si>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</si>
  <si>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</si>
  <si>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</si>
  <si>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</si>
  <si>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</si>
  <si>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</si>
  <si>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</si>
  <si>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</si>
  <si>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</si>
  <si>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</si>
  <si>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</si>
  <si>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</si>
  <si>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</si>
  <si>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</si>
  <si>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0920081550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</si>
  <si>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</si>
  <si>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</si>
  <si>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</si>
  <si>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</si>
  <si>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</si>
  <si>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</si>
  <si>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</si>
  <si>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</si>
  <si>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</si>
  <si>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</si>
  <si>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</si>
  <si>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</si>
  <si>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</si>
  <si>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</si>
  <si>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</si>
  <si>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</si>
  <si>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</si>
  <si>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</si>
  <si>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</si>
  <si>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</si>
  <si>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</si>
  <si>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</si>
  <si>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</si>
  <si>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</si>
  <si>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</si>
  <si>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отчетность исполнителя  мероприятий</t>
  </si>
  <si>
    <t>тыс. рублей</t>
  </si>
  <si>
    <t>0930073980</t>
  </si>
  <si>
    <t>0702</t>
  </si>
  <si>
    <t>09300S3980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</si>
  <si>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</si>
  <si>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</si>
  <si>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</si>
  <si>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</si>
  <si>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</si>
  <si>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</si>
  <si>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</si>
  <si>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</si>
  <si>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</si>
  <si>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</si>
  <si>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</si>
  <si>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</si>
  <si>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</si>
  <si>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</si>
  <si>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</si>
  <si>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</si>
  <si>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кап ремонт</t>
  </si>
  <si>
    <t>содержание</t>
  </si>
  <si>
    <t>1.5.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</si>
  <si>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</si>
  <si>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</si>
  <si>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</si>
  <si>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</si>
  <si>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</si>
  <si>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</si>
  <si>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</si>
  <si>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</si>
  <si>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</si>
  <si>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Администрация Туруханского района предоставляет межбюджетные трансферты администрации г. Игарка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</si>
  <si>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</si>
  <si>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</si>
  <si>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</si>
  <si>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</si>
  <si>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0910083940</t>
  </si>
  <si>
    <t>1.7.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</si>
  <si>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</si>
  <si>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</si>
  <si>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</si>
  <si>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</si>
  <si>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</si>
  <si>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</si>
  <si>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</si>
  <si>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</si>
  <si>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</si>
  <si>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</si>
  <si>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</si>
  <si>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2.2.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</si>
  <si>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</si>
  <si>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</si>
  <si>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</si>
  <si>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</si>
  <si>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</si>
  <si>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шт.</t>
  </si>
  <si>
    <t>ведомственная отчетность программных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</si>
  <si>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</si>
  <si>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</si>
  <si>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813</t>
  </si>
  <si>
    <t>не отвечающих</t>
  </si>
  <si>
    <t>09100S3951</t>
  </si>
  <si>
    <t>0910073951</t>
  </si>
  <si>
    <t>093R310601</t>
  </si>
  <si>
    <t>0920084470</t>
  </si>
  <si>
    <t>0920084630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</si>
  <si>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</si>
  <si>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Приложение № 3
к постановлению администрации  Туруханского района 
от___________№__________-п</t>
  </si>
  <si>
    <t>Содержание улично-дорожной сети</t>
  </si>
  <si>
    <t>Повышение качества пассажирских перевозок</t>
  </si>
  <si>
    <t>исполнение Да-1, Нет-0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</si>
  <si>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</si>
  <si>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0920084800</t>
  </si>
  <si>
    <t>811</t>
  </si>
  <si>
    <t>2026 год</t>
  </si>
  <si>
    <t xml:space="preserve">     </t>
  </si>
  <si>
    <t>Отдельные мероприятия подпрограммы</t>
  </si>
  <si>
    <t>2.2.1.</t>
  </si>
  <si>
    <t>2.2.2.</t>
  </si>
  <si>
    <t>2.2.3.</t>
  </si>
  <si>
    <t>2.2.4.</t>
  </si>
  <si>
    <t>01</t>
  </si>
  <si>
    <t>0920084880</t>
  </si>
  <si>
    <t>0930084870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</si>
  <si>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</si>
  <si>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</si>
  <si>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</si>
  <si>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 xml:space="preserve">Поддержание транспортного сообщения Туруханск-Селиваниха и дорог межселенной территории </t>
  </si>
  <si>
    <t>статистика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</si>
  <si>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</si>
  <si>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</si>
  <si>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</si>
  <si>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</si>
  <si>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</si>
  <si>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</si>
  <si>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2028 год</t>
  </si>
  <si>
    <t>Приобретено и доставлено автобусов</t>
  </si>
  <si>
    <t>Авиационное обеспечение деятельности органов МСУ, комиссии по ЧС, оперативных, поисковых и рабочих групп</t>
  </si>
  <si>
    <t>Приложение 5</t>
  </si>
  <si>
    <t>Приложение 6</t>
  </si>
  <si>
    <t>09400S6450</t>
  </si>
  <si>
    <t>0940076450</t>
  </si>
  <si>
    <t>2026</t>
  </si>
  <si>
    <t>Предоставление субсидии (гранта в виде субсидии) на приобретение и доставку автобуса для нужд Туруханского округа</t>
  </si>
  <si>
    <t>2029 год</t>
  </si>
  <si>
    <t>в результате реализации муниципальной программы Туруханского округа</t>
  </si>
  <si>
    <t>Цель муниципальной программы Туруханского округа: развитие современной и эффективной транспортной инфраструктуры</t>
  </si>
  <si>
    <t>Цель муниципальной программы Туруханского округа: повышение безопасности дорожного движения</t>
  </si>
  <si>
    <t>Задача муниципальной программы Туруханского округа: обеспечение безопасности участников дорожного движения</t>
  </si>
  <si>
    <t>перевезено пассажиров рекой</t>
  </si>
  <si>
    <t>Бор</t>
  </si>
  <si>
    <t>Туруханск</t>
  </si>
  <si>
    <t>Игарка</t>
  </si>
  <si>
    <t>Светлогорск</t>
  </si>
  <si>
    <t>Ворогово</t>
  </si>
  <si>
    <t>среднегодовая численность населения с АИС ММО</t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</si>
  <si>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 бюджета округа согласно данной муниципальной программе</t>
    </r>
  </si>
  <si>
    <t>Задача 1. Предоставление субсидий субъектам пассажирских авиа, автоперевозок и речных перевозок в целях возмещения недополученных доходов и (или) финансового обеспечения (возмещения) затрат.</t>
  </si>
  <si>
    <t>Приложение 4
к постановлению администрации  Туруханского округа 
от___________№__________-п</t>
  </si>
  <si>
    <t>Управление ЖКХ и строительства администрации Туруханского округа</t>
  </si>
  <si>
    <t>Муниципальная программа Туруханского муниципального округа "Развитие транспортной системы и связи Туруханского округа"</t>
  </si>
  <si>
    <t>Подпрограмма 2 «Организация транспортного обслуживания на территории Туруханского округа»</t>
  </si>
  <si>
    <t>Приложение № 4
к постановлению 
администрации  Туруханского округа 
от___________№__________-п</t>
  </si>
  <si>
    <t>Приложение № 2
к постановлению 
администрации  Туруханского округа 
от___________№__________-п</t>
  </si>
  <si>
    <t>Задача муниципальной программы Туруханского округа: обеспечение сохранности, модернизация и развитие сети автомобильных дорог</t>
  </si>
  <si>
    <t>всего расходные обязательства по муниципальной программе Туруханского округа</t>
  </si>
  <si>
    <t>ресурсном обеспечении муниципальной программы Туруханского округа за счет средств  бюджета округа,</t>
  </si>
  <si>
    <t>Цель муниципальной программы Туруханского округа: развитие телекоммуникационных услуг на территории округа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</si>
  <si>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округа</t>
  </si>
  <si>
    <t>территориальное управление администрации Туруханского округа</t>
  </si>
  <si>
    <t xml:space="preserve">всего расходные обязательства </t>
  </si>
  <si>
    <t>мероприятий муниципальной программы Туруханского округа</t>
  </si>
  <si>
    <t>Статус (муниципальная программа Туруханского округа, подпрограмма)</t>
  </si>
  <si>
    <t>Наименование муниципальной программы Туруханского округа, подпрограммы</t>
  </si>
  <si>
    <t>Муниципальная программа Туруханского округа</t>
  </si>
  <si>
    <t>бюджеты муниципальных образований Туруханского округа</t>
  </si>
  <si>
    <t>Подпрограмма 4 «Развитие связи на территории Туруханского муниципального округа»</t>
  </si>
  <si>
    <t>целевых показателей муниципальной программы Туруханского муниципального округа</t>
  </si>
  <si>
    <t>Цели, целевые показатели муниципальной программы Туруханского муниципального округа</t>
  </si>
  <si>
    <t xml:space="preserve"> к паспорту подпрограммы 1 «Развитие транспортного комплекса, обеспечение сохранности и модернизации автомобильных дорог Туруханского муниципального округа»</t>
  </si>
  <si>
    <t>Подпрограмма 1 «Развитие транспортного комплекса, обеспечение сохранности и модернизации автомобильных дорог Туруханского муниципального округа»</t>
  </si>
  <si>
    <t>«Развитие транспортного комплекса, обеспечение сохранности и модернизации 
автомобильных дорог Туруханского муниципального  округа»</t>
  </si>
  <si>
    <t>Подпрограммы 1 «Развитие транспортного комплекса, обеспечение сохранности и модернизации автомобильных дорог Туруханского муниципального округа»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</si>
  <si>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муниципального округа»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</si>
  <si>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муниципального  округа»</t>
  </si>
  <si>
    <t>и значения показателей результативности подпрограммы 2 
«Организация транспортного обслуживания  на территории Туруханского муниципального округа»</t>
  </si>
  <si>
    <t>Количество пассажиров, перевезенных внутрирайонными воздушными перевозками на территории Туруханского муниципального округа</t>
  </si>
  <si>
    <t>Количество пассажиров, перевезенных автомобильным транспортом на территории Туруханского муниципального округа</t>
  </si>
  <si>
    <t>Задача 2. Расходы на транспортировку тел умерших из населенных пунктов Туруханского муниципального округа</t>
  </si>
  <si>
    <t>1.</t>
  </si>
  <si>
    <t>Отдельное мероприятие 1. Цель. Содержание улично-дорожной сети</t>
  </si>
  <si>
    <t>Отдельное мероприятие 5. Цель. Приобретение и доставка топлива, для реализации населению Туруханского округа</t>
  </si>
  <si>
    <t>Отдельное мероприятие 6. Цель. Мероприятия по обеспечению деятельности органов мсу в сфере транспорта</t>
  </si>
  <si>
    <t>2.</t>
  </si>
  <si>
    <t>3.</t>
  </si>
  <si>
    <t>4.</t>
  </si>
  <si>
    <t>Приобретение и доставка топлива, реализуемого населению Туруханского муниципального округа</t>
  </si>
  <si>
    <t>Отдельное мероприятие 2. Цель. Улучшение качества оказания услуг по перевозке пассажиров</t>
  </si>
  <si>
    <t>Отдельное мероприятие 3. Цель. Приобретение и доставка топлива, для реализации населению Туруханского муниципального округа</t>
  </si>
  <si>
    <t>Отдельное мероприятие 4. Цель. Мероприятия по обеспечению деятельности органов МСУ в сфере транспорта</t>
  </si>
  <si>
    <t>мероприятий подпрограммы 2 «Организация транспортного обслуживания на территории Туруханского муниципального округа»</t>
  </si>
  <si>
    <t>Приложение
к подпрограмме 2 «Организация транспортного обслуживания  на территории Туруханского муниципального округа»</t>
  </si>
  <si>
    <t>Субсидии на приобретение и доставку топлива для нужд Туруханского муниципального округа</t>
  </si>
  <si>
    <t>Оказание услуг по авиационному обеспечению деятельности органов МСУ, комиссии по ЧС, оперативных, поисковых и рабочих групп</t>
  </si>
  <si>
    <t>Проведение паталоготомических процедур в труднодоступных населенных пунктах Туруханского муниципального округа</t>
  </si>
  <si>
    <t>Обеспечение транспортного сообщения между городом и островом «Игарский» через протоку «Игарская»</t>
  </si>
  <si>
    <t>Обеспечение потребности населения в автомобильных пассажирских перевозках</t>
  </si>
  <si>
    <t>Итого по подпрограмме:</t>
  </si>
  <si>
    <t>Приложение
к паспорту подпрограммы 3 «Безопасность дорожного движения в Туруханском муниципальном округе»</t>
  </si>
  <si>
    <t>и значения показателей результативности подпрограммы 3 
«Безопасность дорожного движения в Туруханском муниципальном округе»</t>
  </si>
  <si>
    <t>Подпрограмма 3 «Безопасность дорожного движения в Туруханском муниципальном округе»</t>
  </si>
  <si>
    <t>Приложение 
к подпрограмме 3 «Безопасность дорожного движения в Туруханском муниципальном округе»</t>
  </si>
  <si>
    <t>мероприятий подпрограммы 3 "Безопасность дорожного движения в Туруханском муниципальном округе"</t>
  </si>
  <si>
    <t>Управление образования администрации Туруханского муниципального округа</t>
  </si>
  <si>
    <t>Управление ЖКХ и строительства администрации Туруханского муниципального округа</t>
  </si>
  <si>
    <t>Управление культуры и молодежной политики администрации Туруханского муниципального округа</t>
  </si>
  <si>
    <t>и значения показателей результативности подпрограммы  4 
«Развитие связи на территории Туруханского муниципального округа»</t>
  </si>
  <si>
    <t>мероприятий подпрограммы 4 «Развитие связи на территории Туруханского муниципального округа»</t>
  </si>
  <si>
    <t>Приложение
к подпрограмме 4 «Развитие связи на территории Туруханского муниципального округа»</t>
  </si>
  <si>
    <t>Предоставление иных межбюджетных трансфертов бюджетам муниципальных образований Туруханского муниципального округа, расположенных на территории Арктической зоны Российской Федерации, на улучшение связи</t>
  </si>
  <si>
    <t>Администрация Туруханского муниципального округа</t>
  </si>
  <si>
    <t>Развитие транспортной системы и связи Туруханского муниципального округа</t>
  </si>
  <si>
    <t>Развитие транспортного комплекса, обеспечение сохранности и модернизации автомобильных дорог Туруханского муниципального округа</t>
  </si>
  <si>
    <t>Организация транспортного обслуживания  на территории Туруханского муниципального округа</t>
  </si>
  <si>
    <t>Развитие связи на территории Туруханского муниципального округа</t>
  </si>
  <si>
    <t>Территориальное управление администрации Туруханского муниципального округа</t>
  </si>
  <si>
    <t>Цель муниципальной программы Туруханского муниципального округа: повышение доступности транспортных услуг</t>
  </si>
  <si>
    <t>Задача муниципальной программы Туруханского муниципального округа: удовлетворение потребности населения в перевозках</t>
  </si>
  <si>
    <t>администрация Туруханского муниципального округа</t>
  </si>
  <si>
    <t>постановление администрации Туруханского муниципального округа</t>
  </si>
  <si>
    <t>постановление администрации Туруханского мунииципального округа</t>
  </si>
  <si>
    <t>порядок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Туруханского муниципального округа</t>
  </si>
  <si>
    <t>порядк предоставления грантов в форме субсидий на обеспечение пассажирских перевозок автомобильным транспортом на территории Туруханского района</t>
  </si>
  <si>
    <t>порядок предоставления субсидии на приобретение и доставку топлива для нужд Туруханского муниципального округа</t>
  </si>
  <si>
    <t>администрация Туруханского муниципального  округа</t>
  </si>
  <si>
    <t>порядок предоставления субсидии на приобретение и доставку топлива, реализуемого населению Туруханского муниципального округа</t>
  </si>
  <si>
    <t>порядок предоставления субсидии организациям воздушного транспорта на возмещение недополучеенных доходов,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муниципального округа на 2026 год и плановый период 2027-2028 годы, в том числе порядок проведения конкурсного отбора, утверждение норматива субсидирования на 1 час налета воздушного судна.</t>
  </si>
  <si>
    <t>порядок предоставления субсидии на возмещениенедополученных доходов по перевозке пассажиров автомобильным транспортом по регулярным автобусным маршрутам на территории Турухансокго муниципального округа, в том числе пордок проведения конкурсного отбора претендентов, утверждение норматива субсидирования 1 киллометра пробега транспортного средства с пассажирами.</t>
  </si>
  <si>
    <t>всего протяжённость</t>
  </si>
  <si>
    <t>к паспорту подпрограммы 2 «Организация транспортного обслуживания  на территории Туруханского муниципального округа»</t>
  </si>
  <si>
    <t>Количество пассажиров, перевезенных водным транспортом на территории Туруханского муниципального округа</t>
  </si>
  <si>
    <t>Отдельные мероприятия подпрограммы:</t>
  </si>
  <si>
    <t>Приобретение и доставка топлива для нужд Туруханского муниципального округа</t>
  </si>
  <si>
    <t>Снижение рисков дорожно - транспортных происшествий</t>
  </si>
  <si>
    <t>Расходы на оборудование места посадки и высадки пассажиров для их перевозки через протоку "Игарская"</t>
  </si>
  <si>
    <t>Оборудование места посадки и высадки пассажиров для их перевозки через протоку "Игарская"</t>
  </si>
  <si>
    <t>Безопасность дорожного движения в Туруханском муниципальном округе</t>
  </si>
  <si>
    <t>к паспорту муниципальной  программы Туруханского муниципального округа "Развитие транспортной системы и связи Туруханского муниципального округа"</t>
  </si>
  <si>
    <t>годы до конца реализации муниципальной программы Туруханского муниципального округа в пятилетнем интервале</t>
  </si>
  <si>
    <t>Статус (муниципальная программа Туруханского муниципального округа подпрограмма)</t>
  </si>
  <si>
    <t>Наименование муниципальной программы Туруханского муниципального округа, подпрограммы</t>
  </si>
  <si>
    <t xml:space="preserve">(средства окружного бюджета, в том числе средства, </t>
  </si>
  <si>
    <t>окружной бюджет</t>
  </si>
  <si>
    <t>Задача 1. Предоставление субсидий субъектам пассажирских авиа, автоперевозок и водных перевозок в целях возмещения недополученных доходов и (или) финансового обеспечения (возмещения) затрат.</t>
  </si>
  <si>
    <t>Наименование ГРБС</t>
  </si>
  <si>
    <t>к муниципалной программе Туруханского муниципального округа "Развитие транеспортной системы и связи Туруханского муниципального округа"</t>
  </si>
  <si>
    <t>Расходы Борского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</si>
  <si>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0920083231</t>
  </si>
  <si>
    <t>Расходы Вороговского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</si>
  <si>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0920083233</t>
  </si>
  <si>
    <t>Расходы Туруханского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</si>
  <si>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0920083235</t>
  </si>
  <si>
    <t>Расходы Светлогорского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</si>
  <si>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0920083236</t>
  </si>
  <si>
    <t>Расходы Игарского территориального управления администрации Туруханского муниципального округа по перевозке пассажиров автомобильным транспортом</t>
  </si>
  <si>
    <t>0920083237</t>
  </si>
  <si>
    <t>Расходы Игарского территориального управления администрации Туруханского муниципального округа на предоставление субсидии по перевозке пассажиров речным транспортом в навигационный период в г. Игарке по маршруту "Город-Остров-Город"</t>
  </si>
  <si>
    <t>0920085367</t>
  </si>
  <si>
    <t>Расходы Игарского территориального управления администрации Туруханского муниципального округа на предоставление субсидии по перевозке пассажиров речным транспортом - судном на воздушной подушке в г. Игарке по маршруту «Город-Остров-Город»</t>
  </si>
  <si>
    <t>0910081527</t>
  </si>
  <si>
    <t>281</t>
  </si>
  <si>
    <t>0910084561</t>
  </si>
  <si>
    <t>0910084562</t>
  </si>
  <si>
    <t>31</t>
  </si>
  <si>
    <t>1</t>
  </si>
  <si>
    <t>0910084563</t>
  </si>
  <si>
    <t>0910084564</t>
  </si>
  <si>
    <t>0910084565</t>
  </si>
  <si>
    <t>0910084566</t>
  </si>
  <si>
    <t>0910084567</t>
  </si>
  <si>
    <t xml:space="preserve">Расходы на содержание автомобильных дорог общего пользования местного значения Вороговского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</si>
  <si>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Зотинского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</si>
  <si>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Туруханского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</si>
  <si>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Светлогорского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</si>
  <si>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Игарского   территориального отдела администрации Туруханского муниципального округа </t>
  </si>
  <si>
    <t>0910084571</t>
  </si>
  <si>
    <t xml:space="preserve">Расходы на капитальный ремонт и ремонт автомобильных дорог общего пользования местного значения  Борского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</si>
  <si>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Верхнеимбатского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</si>
  <si>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Вороговского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</si>
  <si>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Зотинсского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</si>
  <si>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Туруханского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</si>
  <si>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Игарского  территориального отдела администрации Туруханского муниципального округа </t>
  </si>
  <si>
    <t>0910084572</t>
  </si>
  <si>
    <t>0910084573</t>
  </si>
  <si>
    <t>0910084574</t>
  </si>
  <si>
    <t>0910084575</t>
  </si>
  <si>
    <t>0910084577</t>
  </si>
  <si>
    <t>285</t>
  </si>
  <si>
    <t xml:space="preserve"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</t>
  </si>
  <si>
    <t xml:space="preserve">Расходы на капитальный ремонт и ремонт автомобильных дорог общего пользования местного значения  </t>
  </si>
  <si>
    <t>Расходы на содержание автомобильных дорог общего пользования местного значения</t>
  </si>
  <si>
    <t xml:space="preserve">Предоставление иных межбюджетных трансфертов на софинансирование расходов бюджетам муниципальных образований Туруханского муниципального округа, расположенных на территории Арктической зоны Российской Федерации, на улучшение услуг связи  </t>
  </si>
  <si>
    <t>Улучшение услуг связи в малочисленных и труднодоступных населенных пунктов</t>
  </si>
  <si>
    <t>Отдельное мероприятие подпрограммы. Цель. Улучшение услуг связи в малочисленных и труднодоступных населенных пунктов</t>
  </si>
  <si>
    <t>-</t>
  </si>
  <si>
    <t>Социальный риск (число лиц, погибших в дорожно-транспортных происшествиях, на 100 тыс. населения)</t>
  </si>
  <si>
    <t>Расходы на проведение мероприятий по формированию законопослушного поведения участников дорожного движения</t>
  </si>
  <si>
    <t>Приложение
к паспорту подпрограммы 4 «Развитие связи на территории Туруханского муниципального округа»</t>
  </si>
  <si>
    <t>Годы реализации муниципальной программы</t>
  </si>
  <si>
    <t>первый квартал 2026 года</t>
  </si>
  <si>
    <t>Расходы Игарского территориального управления администрации Туруханского муниципального округа на устройство и содержание ледовой переправы для передвижения с островной на материковую часть г. Игарка (дорожный фонд)</t>
  </si>
  <si>
    <t xml:space="preserve">Подготовительные работы по устройству, устройство и содержание зимней автодороги Игарка - Светлогорск-Туруханск </t>
  </si>
  <si>
    <t>Расходы Борского территориального отдела администрации Туруханского муниципального округа на содержание автомобильных дорог общего пользования местного значения</t>
  </si>
  <si>
    <t>Расходы Верхнеимбатского территориального отдела администрации Туруханского муниципального округа на содержание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</si>
</sst>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_-* #,##0.0\ _₽_-;\-* #,##0.0\ _₽_-;_-* &quot;-&quot;?\ _₽_-;_-@_-"/>
    <numFmt numFmtId="180" formatCode="000000"/>
  </numFmts>
  <fonts count="4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i/>
      <sz val="13.5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9"/>
      <name val="Times New Roman"/>
      <family val="2"/>
      <charset val="204"/>
    </font>
    <font>
      <sz val="9"/>
      <color rgb="FFFF0000"/>
      <name val="Times New Roman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5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168" fontId="18" fillId="0" borderId="0" xfId="2" applyNumberFormat="1" applyFont="1"/>
    <xf numFmtId="169" fontId="18" fillId="0" borderId="0" xfId="0" applyNumberFormat="1" applyFont="1"/>
    <xf numFmtId="169" fontId="18" fillId="0" borderId="12" xfId="0" applyNumberFormat="1" applyFont="1" applyBorder="1"/>
    <xf numFmtId="0" fontId="18" fillId="0" borderId="12" xfId="0" applyFont="1" applyBorder="1"/>
    <xf numFmtId="0" fontId="18" fillId="0" borderId="0" xfId="0" applyFont="1" applyBorder="1"/>
    <xf numFmtId="169" fontId="18" fillId="0" borderId="11" xfId="0" applyNumberFormat="1" applyFont="1" applyBorder="1"/>
    <xf numFmtId="0" fontId="18" fillId="0" borderId="11" xfId="0" applyFont="1" applyBorder="1"/>
    <xf numFmtId="0" fontId="6" fillId="0" borderId="1" xfId="0" applyFont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164" fontId="6" fillId="5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70" fontId="2" fillId="0" borderId="0" xfId="0" applyNumberFormat="1" applyFont="1"/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4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78" fontId="18" fillId="0" borderId="0" xfId="0" applyNumberFormat="1" applyFont="1" applyFill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178" fontId="20" fillId="5" borderId="1" xfId="0" applyNumberFormat="1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1" fontId="3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0" fillId="0" borderId="0" xfId="0" applyFont="1"/>
    <xf numFmtId="164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76" fontId="2" fillId="0" borderId="0" xfId="0" applyNumberFormat="1" applyFont="1"/>
    <xf numFmtId="165" fontId="16" fillId="7" borderId="0" xfId="0" applyNumberFormat="1" applyFont="1" applyFill="1"/>
    <xf numFmtId="169" fontId="2" fillId="7" borderId="1" xfId="2" applyNumberFormat="1" applyFont="1" applyFill="1" applyBorder="1" applyAlignment="1">
      <alignment vertical="center" wrapText="1"/>
    </xf>
    <xf numFmtId="169" fontId="3" fillId="0" borderId="12" xfId="0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0" fontId="3" fillId="0" borderId="11" xfId="0" applyFont="1" applyBorder="1"/>
    <xf numFmtId="169" fontId="14" fillId="0" borderId="12" xfId="0" applyNumberFormat="1" applyFont="1" applyBorder="1"/>
    <xf numFmtId="169" fontId="2" fillId="0" borderId="0" xfId="0" applyNumberFormat="1" applyFont="1"/>
    <xf numFmtId="49" fontId="19" fillId="7" borderId="1" xfId="0" applyNumberFormat="1" applyFont="1" applyFill="1" applyBorder="1" applyAlignment="1">
      <alignment horizontal="center" vertical="center"/>
    </xf>
    <xf numFmtId="165" fontId="24" fillId="7" borderId="1" xfId="2" applyNumberFormat="1" applyFont="1" applyFill="1" applyBorder="1" applyAlignment="1">
      <alignment vertical="center" wrapText="1"/>
    </xf>
    <xf numFmtId="165" fontId="24" fillId="7" borderId="1" xfId="2" applyNumberFormat="1" applyFont="1" applyFill="1" applyBorder="1" applyAlignment="1">
      <alignment horizontal="left" vertical="center" wrapText="1"/>
    </xf>
    <xf numFmtId="179" fontId="16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178" fontId="19" fillId="7" borderId="1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4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center" vertical="center" wrapText="1"/>
    </xf>
    <xf numFmtId="2" fontId="32" fillId="4" borderId="1" xfId="0" applyNumberFormat="1" applyFont="1" applyFill="1" applyBorder="1" applyAlignment="1">
      <alignment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164" fontId="28" fillId="0" borderId="1" xfId="2" applyFont="1" applyFill="1" applyBorder="1" applyAlignment="1">
      <alignment horizontal="center" vertical="center" wrapText="1"/>
    </xf>
    <xf numFmtId="164" fontId="28" fillId="0" borderId="1" xfId="2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8" borderId="1" xfId="4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74" fontId="33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165" fontId="26" fillId="7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7" fillId="0" borderId="0" xfId="0" applyFont="1"/>
    <xf numFmtId="0" fontId="2" fillId="7" borderId="0" xfId="0" applyFont="1" applyFill="1" applyAlignment="1">
      <alignment vertical="center"/>
    </xf>
    <xf numFmtId="178" fontId="2" fillId="7" borderId="1" xfId="0" applyNumberFormat="1" applyFont="1" applyFill="1" applyBorder="1" applyAlignment="1">
      <alignment horizontal="center" vertical="center"/>
    </xf>
    <xf numFmtId="165" fontId="6" fillId="7" borderId="1" xfId="2" applyNumberFormat="1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49" fontId="38" fillId="7" borderId="3" xfId="0" applyNumberFormat="1" applyFont="1" applyFill="1" applyBorder="1" applyAlignment="1">
      <alignment vertical="center" wrapText="1"/>
    </xf>
    <xf numFmtId="49" fontId="38" fillId="7" borderId="4" xfId="0" applyNumberFormat="1" applyFont="1" applyFill="1" applyBorder="1" applyAlignment="1">
      <alignment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vertical="center"/>
    </xf>
    <xf numFmtId="49" fontId="38" fillId="0" borderId="3" xfId="0" applyNumberFormat="1" applyFont="1" applyFill="1" applyBorder="1" applyAlignment="1">
      <alignment vertical="center" wrapText="1"/>
    </xf>
    <xf numFmtId="49" fontId="38" fillId="0" borderId="4" xfId="0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right" vertical="center"/>
    </xf>
    <xf numFmtId="0" fontId="40" fillId="7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176" fontId="40" fillId="7" borderId="0" xfId="0" applyNumberFormat="1" applyFont="1" applyFill="1" applyAlignment="1">
      <alignment horizontal="right" vertical="center"/>
    </xf>
    <xf numFmtId="176" fontId="40" fillId="7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left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165" fontId="26" fillId="3" borderId="1" xfId="2" applyNumberFormat="1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/>
    </xf>
    <xf numFmtId="49" fontId="24" fillId="7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/>
    </xf>
    <xf numFmtId="176" fontId="16" fillId="7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76" fontId="16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70" fontId="6" fillId="5" borderId="1" xfId="2" applyNumberFormat="1" applyFont="1" applyFill="1" applyBorder="1" applyAlignment="1">
      <alignment horizontal="left" vertical="center" wrapText="1"/>
    </xf>
    <xf numFmtId="165" fontId="24" fillId="0" borderId="1" xfId="2" applyNumberFormat="1" applyFont="1" applyFill="1" applyBorder="1" applyAlignment="1">
      <alignment horizontal="center" vertical="center" wrapText="1"/>
    </xf>
    <xf numFmtId="172" fontId="2" fillId="0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178" fontId="42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164" fontId="2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33" fillId="0" borderId="0" xfId="0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4" fontId="2" fillId="2" borderId="1" xfId="0" applyNumberFormat="1" applyFont="1" applyFill="1" applyBorder="1" applyAlignment="1">
      <alignment vertical="center" wrapText="1"/>
    </xf>
    <xf numFmtId="174" fontId="2" fillId="0" borderId="1" xfId="0" applyNumberFormat="1" applyFont="1" applyBorder="1" applyAlignment="1">
      <alignment vertical="center" wrapText="1"/>
    </xf>
    <xf numFmtId="164" fontId="6" fillId="5" borderId="1" xfId="2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170" fontId="26" fillId="5" borderId="1" xfId="2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vertical="center"/>
    </xf>
    <xf numFmtId="49" fontId="44" fillId="7" borderId="1" xfId="0" applyNumberFormat="1" applyFont="1" applyFill="1" applyBorder="1" applyAlignment="1">
      <alignment horizontal="center" vertical="center" wrapText="1"/>
    </xf>
    <xf numFmtId="165" fontId="44" fillId="7" borderId="1" xfId="2" applyNumberFormat="1" applyFont="1" applyFill="1" applyBorder="1" applyAlignment="1">
      <alignment vertical="center" wrapText="1"/>
    </xf>
    <xf numFmtId="0" fontId="44" fillId="7" borderId="1" xfId="0" applyFont="1" applyFill="1" applyBorder="1" applyAlignment="1">
      <alignment horizontal="left" vertical="center" wrapText="1"/>
    </xf>
    <xf numFmtId="0" fontId="44" fillId="7" borderId="1" xfId="0" applyFont="1" applyFill="1" applyBorder="1" applyAlignment="1">
      <alignment horizontal="center" vertical="center" wrapText="1"/>
    </xf>
    <xf numFmtId="165" fontId="45" fillId="7" borderId="1" xfId="2" applyNumberFormat="1" applyFont="1" applyFill="1" applyBorder="1" applyAlignment="1">
      <alignment horizontal="left" vertical="center" wrapText="1"/>
    </xf>
    <xf numFmtId="49" fontId="45" fillId="3" borderId="1" xfId="0" applyNumberFormat="1" applyFont="1" applyFill="1" applyBorder="1" applyAlignment="1">
      <alignment horizontal="left" vertical="center"/>
    </xf>
    <xf numFmtId="49" fontId="45" fillId="3" borderId="1" xfId="0" applyNumberFormat="1" applyFont="1" applyFill="1" applyBorder="1" applyAlignment="1">
      <alignment horizontal="center" vertical="center"/>
    </xf>
    <xf numFmtId="165" fontId="45" fillId="3" borderId="1" xfId="2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vertical="center" wrapText="1"/>
    </xf>
    <xf numFmtId="165" fontId="16" fillId="0" borderId="1" xfId="2" applyNumberFormat="1" applyFont="1" applyFill="1" applyBorder="1" applyAlignment="1">
      <alignment horizontal="left" vertical="center" wrapText="1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vertical="center" wrapText="1"/>
    </xf>
    <xf numFmtId="49" fontId="16" fillId="7" borderId="5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49" fontId="16" fillId="7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8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left" vertical="center" wrapText="1"/>
    </xf>
    <xf numFmtId="0" fontId="44" fillId="7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4" fillId="7" borderId="5" xfId="0" applyNumberFormat="1" applyFont="1" applyFill="1" applyBorder="1" applyAlignment="1">
      <alignment horizontal="center" vertical="center" wrapText="1"/>
    </xf>
    <xf numFmtId="16" fontId="24" fillId="7" borderId="8" xfId="0" applyNumberFormat="1" applyFont="1" applyFill="1" applyBorder="1" applyAlignment="1">
      <alignment horizontal="center" vertical="center" wrapText="1"/>
    </xf>
    <xf numFmtId="16" fontId="24" fillId="7" borderId="7" xfId="0" applyNumberFormat="1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top" wrapText="1"/>
    </xf>
    <xf numFmtId="16" fontId="36" fillId="0" borderId="2" xfId="0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16" fontId="36" fillId="0" borderId="2" xfId="0" applyNumberFormat="1" applyFont="1" applyFill="1" applyBorder="1" applyAlignment="1">
      <alignment horizontal="justify" vertical="center" wrapText="1"/>
    </xf>
    <xf numFmtId="0" fontId="36" fillId="0" borderId="3" xfId="0" applyFont="1" applyFill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2" xfId="5" applyFont="1" applyBorder="1" applyAlignment="1">
      <alignment horizontal="left" vertical="center" wrapText="1"/>
    </xf>
    <xf numFmtId="0" fontId="29" fillId="0" borderId="3" xfId="5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left"/>
    </xf>
    <xf numFmtId="0" fontId="3" fillId="7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16" fontId="38" fillId="7" borderId="2" xfId="0" applyNumberFormat="1" applyFont="1" applyFill="1" applyBorder="1" applyAlignment="1">
      <alignment horizontal="left" vertical="center" wrapText="1"/>
    </xf>
    <xf numFmtId="16" fontId="38" fillId="7" borderId="3" xfId="0" applyNumberFormat="1" applyFont="1" applyFill="1" applyBorder="1" applyAlignment="1">
      <alignment horizontal="left" vertical="center" wrapText="1"/>
    </xf>
    <xf numFmtId="16" fontId="38" fillId="7" borderId="4" xfId="0" applyNumberFormat="1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38" fillId="0" borderId="2" xfId="0" applyNumberFormat="1" applyFont="1" applyFill="1" applyBorder="1" applyAlignment="1">
      <alignment horizontal="left" vertical="center" wrapText="1"/>
    </xf>
    <xf numFmtId="49" fontId="38" fillId="0" borderId="3" xfId="0" applyNumberFormat="1" applyFont="1" applyFill="1" applyBorder="1" applyAlignment="1">
      <alignment horizontal="left" vertical="center" wrapText="1"/>
    </xf>
    <xf numFmtId="16" fontId="2" fillId="7" borderId="5" xfId="0" applyNumberFormat="1" applyFont="1" applyFill="1" applyBorder="1" applyAlignment="1">
      <alignment horizontal="center" vertical="center" wrapText="1"/>
    </xf>
    <xf numFmtId="16" fontId="2" fillId="7" borderId="7" xfId="0" applyNumberFormat="1" applyFont="1" applyFill="1" applyBorder="1" applyAlignment="1">
      <alignment horizontal="center" vertical="center" wrapText="1"/>
    </xf>
    <xf numFmtId="49" fontId="38" fillId="7" borderId="2" xfId="0" applyNumberFormat="1" applyFont="1" applyFill="1" applyBorder="1" applyAlignment="1">
      <alignment horizontal="left" vertical="center" wrapText="1"/>
    </xf>
    <xf numFmtId="49" fontId="38" fillId="7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6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9" fontId="24" fillId="7" borderId="5" xfId="0" applyNumberFormat="1" applyFont="1" applyFill="1" applyBorder="1" applyAlignment="1">
      <alignment horizontal="center" vertical="center"/>
    </xf>
    <xf numFmtId="49" fontId="24" fillId="7" borderId="8" xfId="0" applyNumberFormat="1" applyFont="1" applyFill="1" applyBorder="1" applyAlignment="1">
      <alignment horizontal="center" vertical="center"/>
    </xf>
    <xf numFmtId="49" fontId="24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3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4" fillId="7" borderId="1" xfId="0" applyFont="1" applyFill="1" applyBorder="1" applyAlignment="1">
      <alignment horizontal="left" vertical="center" wrapText="1"/>
    </xf>
    <xf numFmtId="49" fontId="24" fillId="7" borderId="1" xfId="0" applyNumberFormat="1" applyFont="1" applyFill="1" applyBorder="1" applyAlignment="1">
      <alignment vertical="center" wrapText="1"/>
    </xf>
    <xf numFmtId="49" fontId="24" fillId="7" borderId="1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vertical="center" wrapText="1"/>
    </xf>
    <xf numFmtId="49" fontId="26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49" fontId="24" fillId="7" borderId="5" xfId="0" applyNumberFormat="1" applyFont="1" applyFill="1" applyBorder="1" applyAlignment="1">
      <alignment horizontal="center" vertical="center" wrapText="1"/>
    </xf>
    <xf numFmtId="165" fontId="26" fillId="7" borderId="1" xfId="2" applyNumberFormat="1" applyFont="1" applyFill="1" applyBorder="1" applyAlignment="1">
      <alignment horizontal="left" vertical="center" wrapText="1"/>
    </xf>
    <xf numFmtId="49" fontId="24" fillId="7" borderId="7" xfId="0" applyNumberFormat="1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view="pageBreakPreview" topLeftCell="A4" zoomScale="70" zoomScaleNormal="70" zoomScaleSheetLayoutView="70" zoomScalePageLayoutView="70" workbookViewId="0">
      <selection activeCell="D5" sqref="D5:H5"/>
    </sheetView>
  </sheetViews>
  <sheetFormatPr defaultColWidth="9" defaultRowHeight="15.75" outlineLevelRow="1" x14ac:dyDescent="0.25"/>
  <cols>
    <col min="1" max="1" width="6.375" style="116" customWidth="1"/>
    <col min="2" max="2" width="45.5" style="117" customWidth="1"/>
    <col min="3" max="8" width="11.75" style="117" customWidth="1"/>
    <col min="9" max="9" width="22.875" style="117" customWidth="1"/>
    <col min="10" max="16384" width="9" style="117"/>
  </cols>
  <sheetData>
    <row r="1" spans="1:10" ht="18.75" hidden="1" outlineLevel="1" x14ac:dyDescent="0.25">
      <c r="D1" s="387"/>
      <c r="E1" s="387"/>
      <c r="F1" s="387"/>
      <c r="G1" s="387"/>
      <c r="H1" s="387"/>
    </row>
    <row r="2" spans="1:10" hidden="1" outlineLevel="1" x14ac:dyDescent="0.25"/>
    <row r="3" spans="1:10" hidden="1" outlineLevel="1" x14ac:dyDescent="0.25"/>
    <row r="4" spans="1:10" ht="18.75" collapsed="1" x14ac:dyDescent="0.25">
      <c r="A4" s="2"/>
      <c r="B4" s="1"/>
      <c r="C4" s="1"/>
      <c r="D4" s="392" t="s">
        <v>5</v>
      </c>
      <c r="E4" s="392"/>
      <c r="F4" s="392"/>
      <c r="G4" s="392"/>
      <c r="H4" s="392"/>
    </row>
    <row r="5" spans="1:10" ht="54.75" customHeight="1" x14ac:dyDescent="0.25">
      <c r="A5" s="2"/>
      <c r="B5" s="1"/>
      <c r="C5" s="1"/>
      <c r="D5" s="393" t="s">
        <v>348</v>
      </c>
      <c r="E5" s="393"/>
      <c r="F5" s="393"/>
      <c r="G5" s="393"/>
      <c r="H5" s="393"/>
    </row>
    <row r="6" spans="1:10" x14ac:dyDescent="0.25">
      <c r="A6" s="2"/>
      <c r="B6" s="1"/>
      <c r="C6" s="1"/>
      <c r="D6" s="1"/>
      <c r="E6" s="1"/>
      <c r="F6" s="1"/>
      <c r="G6" s="1"/>
      <c r="H6" s="1"/>
    </row>
    <row r="7" spans="1:10" x14ac:dyDescent="0.25">
      <c r="A7" s="2"/>
      <c r="B7" s="1"/>
      <c r="C7" s="1"/>
      <c r="D7" s="1"/>
      <c r="E7" s="1"/>
      <c r="F7" s="1"/>
      <c r="G7" s="1"/>
      <c r="H7" s="1"/>
    </row>
    <row r="8" spans="1:10" ht="18.75" x14ac:dyDescent="0.25">
      <c r="A8" s="383" t="s">
        <v>1</v>
      </c>
      <c r="B8" s="383"/>
      <c r="C8" s="383"/>
      <c r="D8" s="383"/>
      <c r="E8" s="383"/>
      <c r="F8" s="383"/>
      <c r="G8" s="383"/>
      <c r="H8" s="383"/>
    </row>
    <row r="9" spans="1:10" ht="18.75" x14ac:dyDescent="0.25">
      <c r="A9" s="383" t="s">
        <v>278</v>
      </c>
      <c r="B9" s="383"/>
      <c r="C9" s="383"/>
      <c r="D9" s="383"/>
      <c r="E9" s="383"/>
      <c r="F9" s="383"/>
      <c r="G9" s="383"/>
      <c r="H9" s="383"/>
    </row>
    <row r="10" spans="1:10" ht="18.75" x14ac:dyDescent="0.25">
      <c r="A10" s="383" t="s">
        <v>4</v>
      </c>
      <c r="B10" s="383"/>
      <c r="C10" s="383"/>
      <c r="D10" s="383"/>
      <c r="E10" s="383"/>
      <c r="F10" s="383"/>
      <c r="G10" s="383"/>
      <c r="H10" s="383"/>
    </row>
    <row r="11" spans="1:10" ht="18.75" x14ac:dyDescent="0.25">
      <c r="A11" s="383" t="s">
        <v>246</v>
      </c>
      <c r="B11" s="383"/>
      <c r="C11" s="383"/>
      <c r="D11" s="383"/>
      <c r="E11" s="383"/>
      <c r="F11" s="383"/>
      <c r="G11" s="383"/>
      <c r="H11" s="383"/>
    </row>
    <row r="12" spans="1:10" ht="18.75" x14ac:dyDescent="0.25">
      <c r="A12" s="171"/>
      <c r="B12" s="1"/>
      <c r="C12" s="1"/>
      <c r="D12" s="1"/>
      <c r="E12" s="1"/>
      <c r="F12" s="1"/>
      <c r="G12" s="1"/>
      <c r="H12" s="1"/>
    </row>
    <row r="13" spans="1:10" x14ac:dyDescent="0.25">
      <c r="A13" s="384" t="s">
        <v>14</v>
      </c>
      <c r="B13" s="384" t="s">
        <v>279</v>
      </c>
      <c r="C13" s="384" t="s">
        <v>2</v>
      </c>
      <c r="D13" s="384" t="s">
        <v>409</v>
      </c>
      <c r="E13" s="384"/>
      <c r="F13" s="384"/>
      <c r="G13" s="384"/>
      <c r="H13" s="384"/>
    </row>
    <row r="14" spans="1:10" ht="108.75" customHeight="1" x14ac:dyDescent="0.25">
      <c r="A14" s="384"/>
      <c r="B14" s="384"/>
      <c r="C14" s="384"/>
      <c r="D14" s="388" t="s">
        <v>215</v>
      </c>
      <c r="E14" s="388" t="s">
        <v>232</v>
      </c>
      <c r="F14" s="388" t="s">
        <v>236</v>
      </c>
      <c r="G14" s="394" t="s">
        <v>349</v>
      </c>
      <c r="H14" s="394"/>
    </row>
    <row r="15" spans="1:10" x14ac:dyDescent="0.25">
      <c r="A15" s="384"/>
      <c r="B15" s="384"/>
      <c r="C15" s="384"/>
      <c r="D15" s="389"/>
      <c r="E15" s="389"/>
      <c r="F15" s="389"/>
      <c r="G15" s="172" t="s">
        <v>245</v>
      </c>
      <c r="H15" s="172" t="s">
        <v>42</v>
      </c>
      <c r="J15" s="255"/>
    </row>
    <row r="16" spans="1:10" x14ac:dyDescent="0.25">
      <c r="A16" s="172">
        <v>1</v>
      </c>
      <c r="B16" s="172">
        <v>2</v>
      </c>
      <c r="C16" s="172">
        <v>3</v>
      </c>
      <c r="D16" s="223">
        <v>4</v>
      </c>
      <c r="E16" s="223">
        <v>5</v>
      </c>
      <c r="F16" s="256">
        <v>6</v>
      </c>
      <c r="G16" s="223">
        <v>7</v>
      </c>
      <c r="H16" s="223">
        <v>8</v>
      </c>
    </row>
    <row r="17" spans="1:15" ht="37.5" customHeight="1" x14ac:dyDescent="0.25">
      <c r="A17" s="395" t="s">
        <v>261</v>
      </c>
      <c r="B17" s="396"/>
      <c r="C17" s="396"/>
      <c r="D17" s="396"/>
      <c r="E17" s="396"/>
      <c r="F17" s="396"/>
      <c r="G17" s="396"/>
      <c r="H17" s="397"/>
    </row>
    <row r="18" spans="1:15" s="119" customFormat="1" ht="24" customHeight="1" x14ac:dyDescent="0.25">
      <c r="A18" s="173">
        <v>1</v>
      </c>
      <c r="B18" s="391" t="str">
        <f>'пр 5 к МП'!B13:E13</f>
        <v>Цель муниципальной программы Туруханского округа: развитие современной и эффективной транспортной инфраструктуры</v>
      </c>
      <c r="C18" s="391"/>
      <c r="D18" s="391"/>
      <c r="E18" s="391"/>
      <c r="F18" s="391"/>
      <c r="G18" s="391"/>
      <c r="H18" s="391"/>
    </row>
    <row r="19" spans="1:15" s="237" customFormat="1" ht="38.25" customHeight="1" x14ac:dyDescent="0.25">
      <c r="A19" s="390" t="s">
        <v>3</v>
      </c>
      <c r="B19" s="385" t="s">
        <v>90</v>
      </c>
      <c r="C19" s="228" t="s">
        <v>47</v>
      </c>
      <c r="D19" s="333">
        <v>173</v>
      </c>
      <c r="E19" s="333">
        <v>173.2</v>
      </c>
      <c r="F19" s="333">
        <v>173.4</v>
      </c>
      <c r="G19" s="333">
        <v>173.4</v>
      </c>
      <c r="H19" s="333">
        <v>173.4</v>
      </c>
      <c r="J19" s="237" t="s">
        <v>229</v>
      </c>
      <c r="L19" s="237" t="s">
        <v>339</v>
      </c>
      <c r="M19" s="237">
        <v>288.5</v>
      </c>
    </row>
    <row r="20" spans="1:15" s="237" customFormat="1" ht="38.25" customHeight="1" x14ac:dyDescent="0.25">
      <c r="A20" s="390"/>
      <c r="B20" s="385"/>
      <c r="C20" s="228" t="s">
        <v>89</v>
      </c>
      <c r="D20" s="225">
        <f>D19/$M$19*100</f>
        <v>59.965337954939343</v>
      </c>
      <c r="E20" s="225">
        <f t="shared" ref="E20:H20" si="0">E19/$M$19*100</f>
        <v>60.034662045060649</v>
      </c>
      <c r="F20" s="225">
        <f t="shared" si="0"/>
        <v>60.103986135181977</v>
      </c>
      <c r="G20" s="225">
        <f t="shared" si="0"/>
        <v>60.103986135181977</v>
      </c>
      <c r="H20" s="225">
        <f t="shared" si="0"/>
        <v>60.103986135181977</v>
      </c>
      <c r="L20" s="237" t="s">
        <v>201</v>
      </c>
      <c r="M20" s="237">
        <v>117.9</v>
      </c>
      <c r="O20" s="237">
        <f>M19-M20</f>
        <v>170.6</v>
      </c>
    </row>
    <row r="21" spans="1:15" x14ac:dyDescent="0.25">
      <c r="A21" s="172">
        <v>2</v>
      </c>
      <c r="B21" s="386" t="str">
        <f>'пр 5 к МП'!B19:E19</f>
        <v>Цель муниципальной программы Туруханского муниципального округа: повышение доступности транспортных услуг</v>
      </c>
      <c r="C21" s="386"/>
      <c r="D21" s="386"/>
      <c r="E21" s="386"/>
      <c r="F21" s="386"/>
      <c r="G21" s="386"/>
      <c r="H21" s="386"/>
      <c r="M21" s="117">
        <f>M20/M19</f>
        <v>0.40866551126516465</v>
      </c>
    </row>
    <row r="22" spans="1:15" s="119" customFormat="1" ht="50.25" x14ac:dyDescent="0.25">
      <c r="A22" s="177" t="s">
        <v>60</v>
      </c>
      <c r="B22" s="174" t="s">
        <v>207</v>
      </c>
      <c r="C22" s="173" t="s">
        <v>80</v>
      </c>
      <c r="D22" s="169">
        <f>(D23+D24)*1000/D32</f>
        <v>19.69516346077733</v>
      </c>
      <c r="E22" s="169">
        <f t="shared" ref="E22:H22" si="1">(E23+E24)*1000/E32</f>
        <v>19.727957500792897</v>
      </c>
      <c r="F22" s="169">
        <f>(F23+F24)*1000/F32</f>
        <v>19.748313358203031</v>
      </c>
      <c r="G22" s="169">
        <f t="shared" si="1"/>
        <v>19.748313358203031</v>
      </c>
      <c r="H22" s="169">
        <f t="shared" si="1"/>
        <v>19.748313358203031</v>
      </c>
    </row>
    <row r="23" spans="1:15" s="124" customFormat="1" hidden="1" outlineLevel="1" x14ac:dyDescent="0.25">
      <c r="A23" s="120"/>
      <c r="B23" s="121" t="s">
        <v>96</v>
      </c>
      <c r="C23" s="122" t="s">
        <v>54</v>
      </c>
      <c r="D23" s="123">
        <v>7.47</v>
      </c>
      <c r="E23" s="123">
        <v>7.47</v>
      </c>
      <c r="F23" s="123">
        <v>7.47</v>
      </c>
      <c r="G23" s="123">
        <v>7.47</v>
      </c>
      <c r="H23" s="123">
        <v>7.47</v>
      </c>
      <c r="I23" s="119"/>
    </row>
    <row r="24" spans="1:15" s="124" customFormat="1" hidden="1" outlineLevel="1" x14ac:dyDescent="0.25">
      <c r="A24" s="120"/>
      <c r="B24" s="121" t="s">
        <v>97</v>
      </c>
      <c r="C24" s="122" t="s">
        <v>54</v>
      </c>
      <c r="D24" s="123">
        <f>SUM(D25:D29)</f>
        <v>241.339</v>
      </c>
      <c r="E24" s="123">
        <f t="shared" ref="E24:H24" si="2">SUM(E25:E29)</f>
        <v>241.339</v>
      </c>
      <c r="F24" s="123">
        <f t="shared" si="2"/>
        <v>241.339</v>
      </c>
      <c r="G24" s="123">
        <f t="shared" si="2"/>
        <v>241.339</v>
      </c>
      <c r="H24" s="123">
        <f t="shared" si="2"/>
        <v>241.339</v>
      </c>
      <c r="I24" s="119"/>
    </row>
    <row r="25" spans="1:15" s="124" customFormat="1" hidden="1" outlineLevel="1" x14ac:dyDescent="0.25">
      <c r="A25" s="120"/>
      <c r="B25" s="263" t="s">
        <v>251</v>
      </c>
      <c r="C25" s="264"/>
      <c r="D25" s="265">
        <v>45.62</v>
      </c>
      <c r="E25" s="265">
        <v>45.62</v>
      </c>
      <c r="F25" s="265">
        <v>45.62</v>
      </c>
      <c r="G25" s="265">
        <v>45.62</v>
      </c>
      <c r="H25" s="265">
        <v>45.62</v>
      </c>
      <c r="I25" s="119"/>
    </row>
    <row r="26" spans="1:15" s="124" customFormat="1" hidden="1" outlineLevel="1" x14ac:dyDescent="0.25">
      <c r="A26" s="120"/>
      <c r="B26" s="263" t="s">
        <v>252</v>
      </c>
      <c r="C26" s="264"/>
      <c r="D26" s="265">
        <v>142.43899999999999</v>
      </c>
      <c r="E26" s="265">
        <v>142.43899999999999</v>
      </c>
      <c r="F26" s="265">
        <v>142.43899999999999</v>
      </c>
      <c r="G26" s="265">
        <v>142.43899999999999</v>
      </c>
      <c r="H26" s="265">
        <v>142.43899999999999</v>
      </c>
      <c r="I26" s="119"/>
    </row>
    <row r="27" spans="1:15" s="124" customFormat="1" hidden="1" outlineLevel="1" x14ac:dyDescent="0.25">
      <c r="A27" s="120"/>
      <c r="B27" s="263" t="s">
        <v>253</v>
      </c>
      <c r="C27" s="264"/>
      <c r="D27" s="265">
        <v>48.3</v>
      </c>
      <c r="E27" s="265">
        <v>48.3</v>
      </c>
      <c r="F27" s="265">
        <v>48.3</v>
      </c>
      <c r="G27" s="265">
        <v>48.3</v>
      </c>
      <c r="H27" s="265">
        <v>48.3</v>
      </c>
      <c r="I27" s="119"/>
    </row>
    <row r="28" spans="1:15" s="124" customFormat="1" hidden="1" outlineLevel="1" x14ac:dyDescent="0.25">
      <c r="A28" s="120"/>
      <c r="B28" s="263" t="s">
        <v>254</v>
      </c>
      <c r="C28" s="264"/>
      <c r="D28" s="265">
        <v>4.4000000000000004</v>
      </c>
      <c r="E28" s="265">
        <v>4.4000000000000004</v>
      </c>
      <c r="F28" s="265">
        <v>4.4000000000000004</v>
      </c>
      <c r="G28" s="265">
        <v>4.4000000000000004</v>
      </c>
      <c r="H28" s="265">
        <v>4.4000000000000004</v>
      </c>
      <c r="I28" s="119"/>
    </row>
    <row r="29" spans="1:15" s="124" customFormat="1" hidden="1" outlineLevel="1" x14ac:dyDescent="0.25">
      <c r="A29" s="120"/>
      <c r="B29" s="263" t="s">
        <v>255</v>
      </c>
      <c r="C29" s="264"/>
      <c r="D29" s="265">
        <v>0.57999999999999996</v>
      </c>
      <c r="E29" s="265">
        <v>0.57999999999999996</v>
      </c>
      <c r="F29" s="265">
        <v>0.57999999999999996</v>
      </c>
      <c r="G29" s="265">
        <v>0.57999999999999996</v>
      </c>
      <c r="H29" s="265">
        <v>0.57999999999999996</v>
      </c>
      <c r="I29" s="119"/>
    </row>
    <row r="30" spans="1:15" s="124" customFormat="1" hidden="1" outlineLevel="1" x14ac:dyDescent="0.25">
      <c r="A30" s="120"/>
      <c r="B30" s="121" t="s">
        <v>250</v>
      </c>
      <c r="C30" s="122" t="s">
        <v>56</v>
      </c>
      <c r="D30" s="123">
        <f>D31</f>
        <v>47.78</v>
      </c>
      <c r="E30" s="123">
        <f t="shared" ref="E30:H30" si="3">E31</f>
        <v>47.78</v>
      </c>
      <c r="F30" s="123">
        <f t="shared" si="3"/>
        <v>47.78</v>
      </c>
      <c r="G30" s="123">
        <f t="shared" si="3"/>
        <v>47.78</v>
      </c>
      <c r="H30" s="123">
        <f t="shared" si="3"/>
        <v>47.78</v>
      </c>
      <c r="I30" s="119"/>
    </row>
    <row r="31" spans="1:15" s="124" customFormat="1" hidden="1" outlineLevel="1" x14ac:dyDescent="0.25">
      <c r="A31" s="120"/>
      <c r="B31" s="262" t="s">
        <v>253</v>
      </c>
      <c r="C31" s="122"/>
      <c r="D31" s="265">
        <v>47.78</v>
      </c>
      <c r="E31" s="265">
        <v>47.78</v>
      </c>
      <c r="F31" s="265">
        <v>47.78</v>
      </c>
      <c r="G31" s="265">
        <v>47.78</v>
      </c>
      <c r="H31" s="265">
        <v>47.78</v>
      </c>
      <c r="I31" s="119"/>
    </row>
    <row r="32" spans="1:15" s="124" customFormat="1" ht="31.5" hidden="1" outlineLevel="1" x14ac:dyDescent="0.25">
      <c r="A32" s="120"/>
      <c r="B32" s="121" t="s">
        <v>256</v>
      </c>
      <c r="C32" s="122" t="s">
        <v>58</v>
      </c>
      <c r="D32" s="125">
        <v>12633</v>
      </c>
      <c r="E32" s="125">
        <v>12612</v>
      </c>
      <c r="F32" s="125">
        <v>12599</v>
      </c>
      <c r="G32" s="125">
        <f>F32</f>
        <v>12599</v>
      </c>
      <c r="H32" s="125">
        <f>G32</f>
        <v>12599</v>
      </c>
      <c r="I32" s="119"/>
    </row>
    <row r="33" spans="1:9" collapsed="1" x14ac:dyDescent="0.25">
      <c r="A33" s="172">
        <v>3</v>
      </c>
      <c r="B33" s="386" t="str">
        <f>'пр 5 к МП'!B29:E29</f>
        <v>Цель муниципальной программы Туруханского округа: повышение безопасности дорожного движения</v>
      </c>
      <c r="C33" s="386"/>
      <c r="D33" s="386"/>
      <c r="E33" s="386"/>
      <c r="F33" s="386"/>
      <c r="G33" s="386"/>
      <c r="H33" s="386"/>
      <c r="I33" s="119"/>
    </row>
    <row r="34" spans="1:9" ht="31.5" x14ac:dyDescent="0.25">
      <c r="A34" s="178" t="s">
        <v>76</v>
      </c>
      <c r="B34" s="175" t="s">
        <v>57</v>
      </c>
      <c r="C34" s="172" t="s">
        <v>58</v>
      </c>
      <c r="D34" s="209">
        <v>1</v>
      </c>
      <c r="E34" s="213">
        <v>1</v>
      </c>
      <c r="F34" s="257">
        <v>1</v>
      </c>
      <c r="G34" s="173">
        <v>1</v>
      </c>
      <c r="H34" s="173">
        <v>1</v>
      </c>
      <c r="I34" s="119"/>
    </row>
    <row r="35" spans="1:9" s="119" customFormat="1" x14ac:dyDescent="0.25">
      <c r="A35" s="173">
        <v>4</v>
      </c>
      <c r="B35" s="386" t="str">
        <f>'пр 5 к МП'!B34:E34</f>
        <v>Цель муниципальной программы Туруханского округа: развитие телекоммуникационных услуг на территории округа</v>
      </c>
      <c r="C35" s="386"/>
      <c r="D35" s="386"/>
      <c r="E35" s="386"/>
      <c r="F35" s="386"/>
      <c r="G35" s="386"/>
      <c r="H35" s="386"/>
    </row>
    <row r="36" spans="1:9" s="119" customFormat="1" ht="31.5" x14ac:dyDescent="0.25">
      <c r="A36" s="177" t="s">
        <v>77</v>
      </c>
      <c r="B36" s="110" t="s">
        <v>64</v>
      </c>
      <c r="C36" s="173" t="s">
        <v>63</v>
      </c>
      <c r="D36" s="209">
        <v>12</v>
      </c>
      <c r="E36" s="213">
        <v>12</v>
      </c>
      <c r="F36" s="257">
        <v>12</v>
      </c>
      <c r="G36" s="173">
        <v>12</v>
      </c>
      <c r="H36" s="173">
        <v>12</v>
      </c>
    </row>
    <row r="37" spans="1:9" ht="48" customHeight="1" x14ac:dyDescent="0.25">
      <c r="A37" s="382" t="s">
        <v>257</v>
      </c>
      <c r="B37" s="382"/>
      <c r="C37" s="382"/>
      <c r="D37" s="382"/>
      <c r="E37" s="382"/>
      <c r="F37" s="382"/>
      <c r="G37" s="382"/>
      <c r="H37" s="382"/>
    </row>
    <row r="38" spans="1:9" ht="18.75" x14ac:dyDescent="0.25">
      <c r="A38" s="118"/>
    </row>
  </sheetData>
  <mergeCells count="23">
    <mergeCell ref="D1:H1"/>
    <mergeCell ref="E14:E15"/>
    <mergeCell ref="A19:A20"/>
    <mergeCell ref="B18:H18"/>
    <mergeCell ref="D4:H4"/>
    <mergeCell ref="D5:H5"/>
    <mergeCell ref="G14:H14"/>
    <mergeCell ref="D14:D15"/>
    <mergeCell ref="F14:F15"/>
    <mergeCell ref="A17:H17"/>
    <mergeCell ref="A37:H37"/>
    <mergeCell ref="A8:H8"/>
    <mergeCell ref="A9:H9"/>
    <mergeCell ref="A10:H10"/>
    <mergeCell ref="A11:H11"/>
    <mergeCell ref="A13:A15"/>
    <mergeCell ref="B13:B15"/>
    <mergeCell ref="C13:C15"/>
    <mergeCell ref="D13:H13"/>
    <mergeCell ref="B19:B20"/>
    <mergeCell ref="B35:H35"/>
    <mergeCell ref="B33:H33"/>
    <mergeCell ref="B21:H21"/>
  </mergeCells>
  <pageMargins left="0.78740157480314965" right="0.78740157480314965" top="1.1811023622047245" bottom="0.39370078740157483" header="0.31496062992125984" footer="0.31496062992125984"/>
  <pageSetup paperSize="9" scale="98" firstPageNumber="31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zoomScaleSheetLayoutView="100" workbookViewId="0">
      <selection activeCell="E35" sqref="E35"/>
    </sheetView>
  </sheetViews>
  <sheetFormatPr defaultColWidth="9" defaultRowHeight="15.75" outlineLevelRow="1" x14ac:dyDescent="0.25"/>
  <cols>
    <col min="1" max="1" width="6.625" style="271" customWidth="1"/>
    <col min="2" max="2" width="26.625" style="210" customWidth="1"/>
    <col min="3" max="3" width="62.125" style="210" customWidth="1"/>
    <col min="4" max="4" width="26.875" style="344" customWidth="1"/>
    <col min="5" max="5" width="16.375" style="273" customWidth="1"/>
    <col min="6" max="6" width="13.25" style="210" customWidth="1"/>
    <col min="7" max="16384" width="9" style="210"/>
  </cols>
  <sheetData>
    <row r="1" spans="1:5" s="1" customFormat="1" ht="18.75" x14ac:dyDescent="0.25">
      <c r="A1" s="2"/>
      <c r="D1" s="496" t="s">
        <v>239</v>
      </c>
      <c r="E1" s="496"/>
    </row>
    <row r="2" spans="1:5" s="1" customFormat="1" ht="73.5" customHeight="1" x14ac:dyDescent="0.25">
      <c r="A2" s="2"/>
      <c r="D2" s="393" t="str">
        <f>CONCATENATE("к муниципальной программе Туруханского муниципального округа """,'+ Приложение 6'!C15,"""")</f>
        <v>к муниципальной программе Туруханского муниципального округа "Развитие транспортной системы и связи Туруханского муниципального округа"</v>
      </c>
      <c r="E2" s="393"/>
    </row>
    <row r="3" spans="1:5" ht="18.75" x14ac:dyDescent="0.25">
      <c r="A3" s="272"/>
    </row>
    <row r="4" spans="1:5" ht="18.75" x14ac:dyDescent="0.25">
      <c r="A4" s="272"/>
    </row>
    <row r="5" spans="1:5" s="1" customFormat="1" ht="18.75" x14ac:dyDescent="0.25">
      <c r="A5" s="383" t="s">
        <v>0</v>
      </c>
      <c r="B5" s="383"/>
      <c r="C5" s="383"/>
      <c r="D5" s="383"/>
      <c r="E5" s="383"/>
    </row>
    <row r="6" spans="1:5" s="1" customFormat="1" ht="18.75" x14ac:dyDescent="0.25">
      <c r="A6" s="383" t="s">
        <v>11</v>
      </c>
      <c r="B6" s="383"/>
      <c r="C6" s="383"/>
      <c r="D6" s="383"/>
      <c r="E6" s="383"/>
    </row>
    <row r="7" spans="1:5" s="1" customFormat="1" ht="18.75" x14ac:dyDescent="0.25">
      <c r="A7" s="383" t="s">
        <v>12</v>
      </c>
      <c r="B7" s="383"/>
      <c r="C7" s="383"/>
      <c r="D7" s="383"/>
      <c r="E7" s="383"/>
    </row>
    <row r="8" spans="1:5" s="1" customFormat="1" ht="18.75" x14ac:dyDescent="0.25">
      <c r="A8" s="383" t="s">
        <v>13</v>
      </c>
      <c r="B8" s="383"/>
      <c r="C8" s="383"/>
      <c r="D8" s="383"/>
      <c r="E8" s="383"/>
    </row>
    <row r="9" spans="1:5" s="1" customFormat="1" ht="18.75" x14ac:dyDescent="0.25">
      <c r="A9" s="383" t="str">
        <f>CONCATENATE("Туруханского округа """,'+ Приложение 6'!C15,"""")</f>
        <v>Туруханского округа "Развитие транспортной системы и связи Туруханского муниципального округа"</v>
      </c>
      <c r="B9" s="383"/>
      <c r="C9" s="383"/>
      <c r="D9" s="383"/>
      <c r="E9" s="383"/>
    </row>
    <row r="10" spans="1:5" ht="18.75" x14ac:dyDescent="0.25">
      <c r="A10" s="272"/>
    </row>
    <row r="11" spans="1:5" s="1" customFormat="1" ht="63" x14ac:dyDescent="0.25">
      <c r="A11" s="326" t="s">
        <v>14</v>
      </c>
      <c r="B11" s="326" t="s">
        <v>6</v>
      </c>
      <c r="C11" s="326" t="s">
        <v>7</v>
      </c>
      <c r="D11" s="329" t="s">
        <v>8</v>
      </c>
      <c r="E11" s="343" t="s">
        <v>9</v>
      </c>
    </row>
    <row r="12" spans="1:5" s="1" customFormat="1" x14ac:dyDescent="0.25">
      <c r="A12" s="326">
        <v>1</v>
      </c>
      <c r="B12" s="326">
        <v>2</v>
      </c>
      <c r="C12" s="326">
        <v>3</v>
      </c>
      <c r="D12" s="329">
        <v>4</v>
      </c>
      <c r="E12" s="326">
        <v>5</v>
      </c>
    </row>
    <row r="13" spans="1:5" s="1" customFormat="1" ht="33" customHeight="1" x14ac:dyDescent="0.25">
      <c r="A13" s="298">
        <v>1</v>
      </c>
      <c r="B13" s="497" t="s">
        <v>247</v>
      </c>
      <c r="C13" s="497"/>
      <c r="D13" s="497"/>
      <c r="E13" s="497"/>
    </row>
    <row r="14" spans="1:5" s="1" customFormat="1" ht="36" customHeight="1" x14ac:dyDescent="0.25">
      <c r="A14" s="384" t="s">
        <v>3</v>
      </c>
      <c r="B14" s="386" t="s">
        <v>265</v>
      </c>
      <c r="C14" s="386"/>
      <c r="D14" s="386"/>
      <c r="E14" s="386"/>
    </row>
    <row r="15" spans="1:5" s="1" customFormat="1" ht="39.75" customHeight="1" x14ac:dyDescent="0.25">
      <c r="A15" s="384"/>
      <c r="B15" s="482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муниципального округа"</v>
      </c>
      <c r="C15" s="482"/>
      <c r="D15" s="482"/>
      <c r="E15" s="482"/>
    </row>
    <row r="16" spans="1:5" s="1" customFormat="1" ht="63" x14ac:dyDescent="0.25">
      <c r="A16" s="329" t="s">
        <v>82</v>
      </c>
      <c r="B16" s="328" t="s">
        <v>98</v>
      </c>
      <c r="C16" s="328" t="s">
        <v>99</v>
      </c>
      <c r="D16" s="329" t="s">
        <v>260</v>
      </c>
      <c r="E16" s="299" t="s">
        <v>410</v>
      </c>
    </row>
    <row r="17" spans="1:7" s="1" customFormat="1" ht="63" x14ac:dyDescent="0.25">
      <c r="A17" s="329" t="s">
        <v>103</v>
      </c>
      <c r="B17" s="328" t="s">
        <v>98</v>
      </c>
      <c r="C17" s="328" t="s">
        <v>100</v>
      </c>
      <c r="D17" s="329" t="s">
        <v>260</v>
      </c>
      <c r="E17" s="299" t="s">
        <v>410</v>
      </c>
    </row>
    <row r="18" spans="1:7" s="1" customFormat="1" ht="31.5" x14ac:dyDescent="0.25">
      <c r="A18" s="329" t="s">
        <v>104</v>
      </c>
      <c r="B18" s="328" t="s">
        <v>98</v>
      </c>
      <c r="C18" s="328" t="s">
        <v>101</v>
      </c>
      <c r="D18" s="329" t="s">
        <v>102</v>
      </c>
      <c r="E18" s="299" t="s">
        <v>410</v>
      </c>
    </row>
    <row r="19" spans="1:7" ht="18" customHeight="1" x14ac:dyDescent="0.25">
      <c r="A19" s="298">
        <v>2</v>
      </c>
      <c r="B19" s="497" t="s">
        <v>327</v>
      </c>
      <c r="C19" s="497"/>
      <c r="D19" s="497"/>
      <c r="E19" s="497"/>
    </row>
    <row r="20" spans="1:7" ht="18" customHeight="1" x14ac:dyDescent="0.25">
      <c r="A20" s="384" t="s">
        <v>60</v>
      </c>
      <c r="B20" s="386" t="s">
        <v>328</v>
      </c>
      <c r="C20" s="386"/>
      <c r="D20" s="386"/>
      <c r="E20" s="386"/>
    </row>
    <row r="21" spans="1:7" ht="18" customHeight="1" x14ac:dyDescent="0.25">
      <c r="A21" s="384"/>
      <c r="B21" s="482" t="str">
        <f>CONCATENATE("Подпрограмма 2 """,'+ Приложение 6'!C26,"""")</f>
        <v>Подпрограмма 2 "Организация транспортного обслуживания  на территории Туруханского муниципального округа"</v>
      </c>
      <c r="C21" s="482"/>
      <c r="D21" s="482"/>
      <c r="E21" s="482"/>
    </row>
    <row r="22" spans="1:7" ht="110.25" x14ac:dyDescent="0.25">
      <c r="A22" s="296" t="s">
        <v>83</v>
      </c>
      <c r="B22" s="161" t="s">
        <v>330</v>
      </c>
      <c r="C22" s="297" t="s">
        <v>338</v>
      </c>
      <c r="D22" s="329" t="s">
        <v>329</v>
      </c>
      <c r="E22" s="299" t="s">
        <v>410</v>
      </c>
    </row>
    <row r="23" spans="1:7" ht="126" x14ac:dyDescent="0.25">
      <c r="A23" s="296" t="s">
        <v>85</v>
      </c>
      <c r="B23" s="161" t="s">
        <v>330</v>
      </c>
      <c r="C23" s="297" t="s">
        <v>337</v>
      </c>
      <c r="D23" s="329" t="s">
        <v>329</v>
      </c>
      <c r="E23" s="299" t="s">
        <v>410</v>
      </c>
    </row>
    <row r="24" spans="1:7" x14ac:dyDescent="0.25">
      <c r="A24" s="296" t="s">
        <v>190</v>
      </c>
      <c r="B24" s="493" t="s">
        <v>217</v>
      </c>
      <c r="C24" s="494"/>
      <c r="D24" s="494"/>
      <c r="E24" s="495"/>
    </row>
    <row r="25" spans="1:7" ht="63" x14ac:dyDescent="0.25">
      <c r="A25" s="296" t="s">
        <v>218</v>
      </c>
      <c r="B25" s="161" t="s">
        <v>331</v>
      </c>
      <c r="C25" s="297" t="s">
        <v>332</v>
      </c>
      <c r="D25" s="329" t="s">
        <v>329</v>
      </c>
      <c r="E25" s="299" t="s">
        <v>410</v>
      </c>
      <c r="F25" s="274"/>
      <c r="G25" s="275" t="s">
        <v>216</v>
      </c>
    </row>
    <row r="26" spans="1:7" ht="63" x14ac:dyDescent="0.25">
      <c r="A26" s="296" t="s">
        <v>219</v>
      </c>
      <c r="B26" s="161" t="s">
        <v>330</v>
      </c>
      <c r="C26" s="297" t="s">
        <v>333</v>
      </c>
      <c r="D26" s="329" t="s">
        <v>329</v>
      </c>
      <c r="E26" s="299" t="s">
        <v>410</v>
      </c>
    </row>
    <row r="27" spans="1:7" ht="63" x14ac:dyDescent="0.25">
      <c r="A27" s="296" t="s">
        <v>220</v>
      </c>
      <c r="B27" s="161" t="s">
        <v>330</v>
      </c>
      <c r="C27" s="297" t="s">
        <v>334</v>
      </c>
      <c r="D27" s="329" t="s">
        <v>335</v>
      </c>
      <c r="E27" s="299" t="s">
        <v>410</v>
      </c>
    </row>
    <row r="28" spans="1:7" ht="63" x14ac:dyDescent="0.25">
      <c r="A28" s="296" t="s">
        <v>221</v>
      </c>
      <c r="B28" s="161" t="s">
        <v>330</v>
      </c>
      <c r="C28" s="161" t="s">
        <v>336</v>
      </c>
      <c r="D28" s="329" t="s">
        <v>321</v>
      </c>
      <c r="E28" s="299" t="s">
        <v>410</v>
      </c>
    </row>
    <row r="29" spans="1:7" s="1" customFormat="1" ht="19.5" customHeight="1" x14ac:dyDescent="0.25">
      <c r="A29" s="298">
        <v>3</v>
      </c>
      <c r="B29" s="490" t="s">
        <v>248</v>
      </c>
      <c r="C29" s="491"/>
      <c r="D29" s="491"/>
      <c r="E29" s="492"/>
    </row>
    <row r="30" spans="1:7" s="1" customFormat="1" x14ac:dyDescent="0.25">
      <c r="A30" s="388" t="s">
        <v>76</v>
      </c>
      <c r="B30" s="486" t="s">
        <v>249</v>
      </c>
      <c r="C30" s="487"/>
      <c r="D30" s="487"/>
      <c r="E30" s="488"/>
    </row>
    <row r="31" spans="1:7" s="1" customFormat="1" ht="17.25" customHeight="1" x14ac:dyDescent="0.25">
      <c r="A31" s="389"/>
      <c r="B31" s="483" t="str">
        <f>CONCATENATE("Подпрограмма 3 """,'+ Приложение 6'!C31,"""")</f>
        <v>Подпрограмма 3 "Безопасность дорожного движения в Туруханском муниципальном округе"</v>
      </c>
      <c r="C31" s="484"/>
      <c r="D31" s="484"/>
      <c r="E31" s="485"/>
    </row>
    <row r="32" spans="1:7" s="1" customFormat="1" hidden="1" outlineLevel="1" x14ac:dyDescent="0.25">
      <c r="A32" s="345" t="s">
        <v>84</v>
      </c>
      <c r="B32" s="346"/>
      <c r="C32" s="346"/>
      <c r="D32" s="328"/>
      <c r="E32" s="347"/>
    </row>
    <row r="33" spans="1:5" s="1" customFormat="1" hidden="1" outlineLevel="1" x14ac:dyDescent="0.25">
      <c r="A33" s="326"/>
      <c r="B33" s="327"/>
      <c r="C33" s="327"/>
      <c r="D33" s="328"/>
      <c r="E33" s="348"/>
    </row>
    <row r="34" spans="1:5" s="1" customFormat="1" collapsed="1" x14ac:dyDescent="0.25">
      <c r="A34" s="298">
        <v>4</v>
      </c>
      <c r="B34" s="489" t="s">
        <v>268</v>
      </c>
      <c r="C34" s="489"/>
      <c r="D34" s="489"/>
      <c r="E34" s="489"/>
    </row>
    <row r="35" spans="1:5" s="1" customFormat="1" ht="63" x14ac:dyDescent="0.25">
      <c r="A35" s="326" t="s">
        <v>86</v>
      </c>
      <c r="B35" s="327" t="s">
        <v>74</v>
      </c>
      <c r="C35" s="327" t="s">
        <v>269</v>
      </c>
      <c r="D35" s="329" t="s">
        <v>270</v>
      </c>
      <c r="E35" s="299" t="s">
        <v>410</v>
      </c>
    </row>
    <row r="36" spans="1:5" ht="31.5" customHeight="1" x14ac:dyDescent="0.25">
      <c r="A36" s="210"/>
      <c r="E36" s="210"/>
    </row>
    <row r="37" spans="1:5" x14ac:dyDescent="0.25">
      <c r="A37" s="210"/>
      <c r="E37" s="210"/>
    </row>
    <row r="38" spans="1:5" x14ac:dyDescent="0.25">
      <c r="A38" s="210"/>
      <c r="E38" s="210"/>
    </row>
    <row r="39" spans="1:5" x14ac:dyDescent="0.25">
      <c r="A39" s="210"/>
      <c r="E39" s="210"/>
    </row>
  </sheetData>
  <mergeCells count="21"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30:A31"/>
    <mergeCell ref="B15:E15"/>
    <mergeCell ref="B21:E21"/>
    <mergeCell ref="B31:E31"/>
    <mergeCell ref="B30:E30"/>
  </mergeCells>
  <pageMargins left="1.1811023622047245" right="0.78740157480314965" top="0.78740157480314965" bottom="0.39370078740157483" header="0.31496062992125984" footer="0.31496062992125984"/>
  <pageSetup paperSize="9" scale="54" firstPageNumber="44" fitToHeight="0" orientation="portrait" useFirstPageNumber="1" r:id="rId1"/>
  <headerFooter>
    <oddHeader>&amp;C&amp;P</oddHeader>
  </headerFooter>
  <rowBreaks count="1" manualBreakCount="1"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56"/>
  <sheetViews>
    <sheetView view="pageBreakPreview" topLeftCell="A2" zoomScale="70" zoomScaleNormal="70" zoomScaleSheetLayoutView="70" zoomScalePageLayoutView="85" workbookViewId="0">
      <selection activeCell="D20" sqref="D20"/>
    </sheetView>
  </sheetViews>
  <sheetFormatPr defaultColWidth="9" defaultRowHeight="15.75" outlineLevelRow="1" x14ac:dyDescent="0.25"/>
  <cols>
    <col min="1" max="1" width="4.875" style="116" customWidth="1"/>
    <col min="2" max="2" width="20.25" style="117" customWidth="1"/>
    <col min="3" max="3" width="25.5" style="117" customWidth="1"/>
    <col min="4" max="4" width="44.875" style="117" customWidth="1"/>
    <col min="5" max="5" width="9" style="116"/>
    <col min="6" max="8" width="9" style="117"/>
    <col min="9" max="9" width="17.375" style="117" customWidth="1"/>
    <col min="10" max="10" width="16.625" style="117" customWidth="1"/>
    <col min="11" max="11" width="16.375" style="117" customWidth="1"/>
    <col min="12" max="12" width="18.125" style="117" bestFit="1" customWidth="1"/>
    <col min="13" max="16384" width="9" style="117"/>
  </cols>
  <sheetData>
    <row r="1" spans="1:18" ht="84" hidden="1" customHeight="1" outlineLevel="1" x14ac:dyDescent="0.3">
      <c r="I1" s="444" t="s">
        <v>212</v>
      </c>
      <c r="J1" s="503"/>
      <c r="K1" s="503"/>
      <c r="L1" s="503"/>
    </row>
    <row r="2" spans="1:18" s="1" customFormat="1" ht="24.75" customHeight="1" collapsed="1" x14ac:dyDescent="0.3">
      <c r="A2" s="2"/>
      <c r="E2" s="2"/>
      <c r="I2" s="164" t="s">
        <v>240</v>
      </c>
      <c r="J2" s="159"/>
      <c r="K2" s="232"/>
      <c r="L2" s="165"/>
    </row>
    <row r="3" spans="1:18" s="1" customFormat="1" ht="58.5" customHeight="1" x14ac:dyDescent="0.25">
      <c r="A3" s="2"/>
      <c r="E3" s="2"/>
      <c r="I3" s="393" t="str">
        <f>CONCATENATE("к муниципальной программе Туруханского муниципального округа """,'+ Приложение 6'!C15,"""")</f>
        <v>к муниципальной программе Туруханского муниципального округа "Развитие транспортной системы и связи Туруханского муниципального округа"</v>
      </c>
      <c r="J3" s="393"/>
      <c r="K3" s="393"/>
      <c r="L3" s="393"/>
    </row>
    <row r="4" spans="1:18" ht="18.75" x14ac:dyDescent="0.25">
      <c r="A4" s="118"/>
    </row>
    <row r="5" spans="1:18" ht="18.75" x14ac:dyDescent="0.25">
      <c r="A5" s="118"/>
    </row>
    <row r="6" spans="1:18" ht="18.75" x14ac:dyDescent="0.25">
      <c r="A6" s="383" t="s">
        <v>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</row>
    <row r="7" spans="1:18" ht="18.75" x14ac:dyDescent="0.25">
      <c r="A7" s="383" t="s">
        <v>267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</row>
    <row r="8" spans="1:18" ht="18.75" x14ac:dyDescent="0.25">
      <c r="A8" s="383" t="s">
        <v>75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</row>
    <row r="9" spans="1:18" ht="18.75" x14ac:dyDescent="0.25">
      <c r="A9" s="383" t="s">
        <v>28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</row>
    <row r="10" spans="1:18" ht="18.75" x14ac:dyDescent="0.25">
      <c r="A10" s="158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8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140</v>
      </c>
    </row>
    <row r="12" spans="1:18" ht="26.25" customHeight="1" x14ac:dyDescent="0.25">
      <c r="A12" s="500" t="s">
        <v>14</v>
      </c>
      <c r="B12" s="501" t="s">
        <v>350</v>
      </c>
      <c r="C12" s="500" t="s">
        <v>351</v>
      </c>
      <c r="D12" s="500" t="s">
        <v>17</v>
      </c>
      <c r="E12" s="500" t="s">
        <v>18</v>
      </c>
      <c r="F12" s="500"/>
      <c r="G12" s="500"/>
      <c r="H12" s="500"/>
      <c r="I12" s="156">
        <v>2026</v>
      </c>
      <c r="J12" s="156">
        <f>I12+1</f>
        <v>2027</v>
      </c>
      <c r="K12" s="234">
        <f>J12+1</f>
        <v>2028</v>
      </c>
      <c r="L12" s="500" t="s">
        <v>19</v>
      </c>
    </row>
    <row r="13" spans="1:18" ht="26.25" customHeight="1" x14ac:dyDescent="0.25">
      <c r="A13" s="500"/>
      <c r="B13" s="501"/>
      <c r="C13" s="500"/>
      <c r="D13" s="500"/>
      <c r="E13" s="156" t="s">
        <v>20</v>
      </c>
      <c r="F13" s="156" t="s">
        <v>21</v>
      </c>
      <c r="G13" s="156" t="s">
        <v>22</v>
      </c>
      <c r="H13" s="156" t="s">
        <v>23</v>
      </c>
      <c r="I13" s="156" t="s">
        <v>24</v>
      </c>
      <c r="J13" s="156" t="s">
        <v>24</v>
      </c>
      <c r="K13" s="234" t="s">
        <v>24</v>
      </c>
      <c r="L13" s="500"/>
      <c r="N13" s="117">
        <v>2026</v>
      </c>
      <c r="O13" s="117">
        <v>2027</v>
      </c>
      <c r="P13" s="117">
        <v>2028</v>
      </c>
    </row>
    <row r="14" spans="1:18" x14ac:dyDescent="0.25">
      <c r="A14" s="157">
        <v>1</v>
      </c>
      <c r="B14" s="157">
        <v>2</v>
      </c>
      <c r="C14" s="157">
        <v>3</v>
      </c>
      <c r="D14" s="157">
        <v>4</v>
      </c>
      <c r="E14" s="157">
        <v>5</v>
      </c>
      <c r="F14" s="157">
        <v>6</v>
      </c>
      <c r="G14" s="157">
        <v>7</v>
      </c>
      <c r="H14" s="157">
        <v>8</v>
      </c>
      <c r="I14" s="157">
        <f>H14+1</f>
        <v>9</v>
      </c>
      <c r="J14" s="226">
        <v>10</v>
      </c>
      <c r="K14" s="226">
        <v>11</v>
      </c>
      <c r="L14" s="226">
        <v>12</v>
      </c>
    </row>
    <row r="15" spans="1:18" s="193" customFormat="1" ht="47.25" x14ac:dyDescent="0.25">
      <c r="A15" s="504">
        <v>1</v>
      </c>
      <c r="B15" s="502" t="s">
        <v>275</v>
      </c>
      <c r="C15" s="502" t="s">
        <v>322</v>
      </c>
      <c r="D15" s="276" t="s">
        <v>266</v>
      </c>
      <c r="E15" s="277" t="s">
        <v>25</v>
      </c>
      <c r="F15" s="277" t="s">
        <v>25</v>
      </c>
      <c r="G15" s="277" t="s">
        <v>25</v>
      </c>
      <c r="H15" s="277" t="s">
        <v>25</v>
      </c>
      <c r="I15" s="278">
        <f t="shared" ref="I15:K15" si="0">SUM(I17:I20)</f>
        <v>485212.36000000004</v>
      </c>
      <c r="J15" s="278">
        <f t="shared" si="0"/>
        <v>485212.36000000004</v>
      </c>
      <c r="K15" s="278">
        <f t="shared" si="0"/>
        <v>485212.36000000004</v>
      </c>
      <c r="L15" s="278">
        <f>SUM(L17:L20)</f>
        <v>1455637.0799999998</v>
      </c>
      <c r="N15" s="241">
        <f>'пр к ПП1'!I45+'+ пр к ПП2'!I44+'+пр к ПП3'!I27+'+пр к ПП4'!I24-'+ Приложение 6'!I15</f>
        <v>0</v>
      </c>
      <c r="O15" s="241">
        <f>'пр к ПП1'!J45+'+ пр к ПП2'!J44+'+пр к ПП3'!J27+'+пр к ПП4'!J24-'+ Приложение 6'!J15</f>
        <v>0</v>
      </c>
      <c r="P15" s="241">
        <f>'пр к ПП1'!K45+'+ пр к ПП2'!K44+'+пр к ПП3'!K27+'+пр к ПП4'!K24-'+ Приложение 6'!K15</f>
        <v>0</v>
      </c>
      <c r="Q15" s="241">
        <f>'пр к ПП1'!L45+'+ пр к ПП2'!L44+'+пр к ПП3'!L27+'+пр к ПП4'!L24-'+ Приложение 6'!L15</f>
        <v>0</v>
      </c>
      <c r="R15" s="241"/>
    </row>
    <row r="16" spans="1:18" s="193" customFormat="1" x14ac:dyDescent="0.25">
      <c r="A16" s="504"/>
      <c r="B16" s="502"/>
      <c r="C16" s="502"/>
      <c r="D16" s="192" t="s">
        <v>26</v>
      </c>
      <c r="E16" s="162"/>
      <c r="F16" s="162" t="s">
        <v>25</v>
      </c>
      <c r="G16" s="162" t="s">
        <v>25</v>
      </c>
      <c r="H16" s="162" t="s">
        <v>25</v>
      </c>
      <c r="I16" s="104"/>
      <c r="J16" s="104"/>
      <c r="K16" s="104"/>
      <c r="L16" s="104">
        <f>SUM(I16:J16)</f>
        <v>0</v>
      </c>
    </row>
    <row r="17" spans="1:17" s="193" customFormat="1" ht="31.5" x14ac:dyDescent="0.25">
      <c r="A17" s="504"/>
      <c r="B17" s="502"/>
      <c r="C17" s="502"/>
      <c r="D17" s="192" t="s">
        <v>321</v>
      </c>
      <c r="E17" s="162">
        <v>281</v>
      </c>
      <c r="F17" s="162" t="s">
        <v>25</v>
      </c>
      <c r="G17" s="162" t="s">
        <v>25</v>
      </c>
      <c r="H17" s="162" t="s">
        <v>25</v>
      </c>
      <c r="I17" s="104">
        <f>SUMIF($D$21:$D$38,$D17,I$21:I$38)</f>
        <v>440311.53</v>
      </c>
      <c r="J17" s="104">
        <f>SUMIF($D$21:$D$38,$D17,J$21:J$38)</f>
        <v>440311.53</v>
      </c>
      <c r="K17" s="104">
        <f>SUMIF($D$21:$D$38,$D17,K$21:K$38)</f>
        <v>440311.53</v>
      </c>
      <c r="L17" s="104">
        <f>SUMIF($D$21:$D$38,$D17,L$21:L$38)</f>
        <v>1320934.5899999999</v>
      </c>
    </row>
    <row r="18" spans="1:17" s="193" customFormat="1" ht="31.5" x14ac:dyDescent="0.25">
      <c r="A18" s="504"/>
      <c r="B18" s="502"/>
      <c r="C18" s="502"/>
      <c r="D18" s="192" t="s">
        <v>326</v>
      </c>
      <c r="E18" s="162">
        <v>242</v>
      </c>
      <c r="F18" s="162" t="s">
        <v>25</v>
      </c>
      <c r="G18" s="162" t="s">
        <v>25</v>
      </c>
      <c r="H18" s="162" t="s">
        <v>25</v>
      </c>
      <c r="I18" s="104">
        <f>SUMIF($D$21:$D$38,$D18,I$21:I$38)</f>
        <v>1650.83</v>
      </c>
      <c r="J18" s="104">
        <f>SUMIF($D$21:$D$38,$D18,J$21:J$38)</f>
        <v>1650.83</v>
      </c>
      <c r="K18" s="104">
        <f>SUMIF($D$21:$D$38,$D18,K$21:K$38)</f>
        <v>1650.83</v>
      </c>
      <c r="L18" s="104">
        <f t="shared" ref="L18" si="1">SUMIF($D$21:$D$38,$D18,L$21:L$38)</f>
        <v>4952.49</v>
      </c>
    </row>
    <row r="19" spans="1:17" s="193" customFormat="1" ht="47.25" x14ac:dyDescent="0.25">
      <c r="A19" s="504"/>
      <c r="B19" s="502"/>
      <c r="C19" s="502"/>
      <c r="D19" s="192" t="s">
        <v>315</v>
      </c>
      <c r="E19" s="162">
        <v>285</v>
      </c>
      <c r="F19" s="162" t="s">
        <v>25</v>
      </c>
      <c r="G19" s="162" t="s">
        <v>25</v>
      </c>
      <c r="H19" s="162" t="s">
        <v>25</v>
      </c>
      <c r="I19" s="104">
        <f>SUMIF(D21:D38,D19,I21:I38)</f>
        <v>43250</v>
      </c>
      <c r="J19" s="104">
        <f>SUMIF(D21:D38,D19,J21:J38)</f>
        <v>43250</v>
      </c>
      <c r="K19" s="104">
        <f>SUMIF(D21:D38,D19,K21:K38)</f>
        <v>43250</v>
      </c>
      <c r="L19" s="104">
        <f>SUMIF(D21:D38,D19,L21:L38)</f>
        <v>129750</v>
      </c>
    </row>
    <row r="20" spans="1:17" s="193" customFormat="1" ht="31.5" x14ac:dyDescent="0.25">
      <c r="A20" s="504"/>
      <c r="B20" s="502"/>
      <c r="C20" s="502"/>
      <c r="D20" s="192" t="s">
        <v>314</v>
      </c>
      <c r="E20" s="162">
        <v>283</v>
      </c>
      <c r="F20" s="162" t="s">
        <v>25</v>
      </c>
      <c r="G20" s="162" t="s">
        <v>25</v>
      </c>
      <c r="H20" s="162" t="s">
        <v>25</v>
      </c>
      <c r="I20" s="104">
        <f>SUMIF(D21:D38,D20,I21:I38)</f>
        <v>0</v>
      </c>
      <c r="J20" s="104">
        <f>SUMIF(D21:D38,D20,J21:J38)</f>
        <v>0</v>
      </c>
      <c r="K20" s="104">
        <f>SUMIF(D21:D38,D20,K21:K38)</f>
        <v>0</v>
      </c>
      <c r="L20" s="104">
        <f>SUMIF(D21:D38,D20,L21:L38)</f>
        <v>0</v>
      </c>
    </row>
    <row r="21" spans="1:17" s="1" customFormat="1" x14ac:dyDescent="0.25">
      <c r="A21" s="498" t="s">
        <v>3</v>
      </c>
      <c r="B21" s="499" t="s">
        <v>10</v>
      </c>
      <c r="C21" s="499" t="s">
        <v>323</v>
      </c>
      <c r="D21" s="279" t="s">
        <v>271</v>
      </c>
      <c r="E21" s="280"/>
      <c r="F21" s="280" t="s">
        <v>25</v>
      </c>
      <c r="G21" s="280" t="s">
        <v>25</v>
      </c>
      <c r="H21" s="280" t="s">
        <v>25</v>
      </c>
      <c r="I21" s="278">
        <f>I24+I25+I23</f>
        <v>103104.58499999999</v>
      </c>
      <c r="J21" s="278">
        <f t="shared" ref="J21:K21" si="2">J24+J25+J23</f>
        <v>103104.58499999999</v>
      </c>
      <c r="K21" s="278">
        <f t="shared" si="2"/>
        <v>103104.58499999999</v>
      </c>
      <c r="L21" s="278">
        <f>L23+L24+L25</f>
        <v>309313.755</v>
      </c>
      <c r="N21" s="240">
        <f>I21-'пр к ПП1'!I45</f>
        <v>0</v>
      </c>
      <c r="O21" s="240">
        <f>J21-'пр к ПП1'!J45</f>
        <v>0</v>
      </c>
      <c r="P21" s="240">
        <f>K21-'пр к ПП1'!K45</f>
        <v>0</v>
      </c>
      <c r="Q21" s="240"/>
    </row>
    <row r="22" spans="1:17" s="1" customFormat="1" x14ac:dyDescent="0.25">
      <c r="A22" s="498"/>
      <c r="B22" s="499"/>
      <c r="C22" s="499"/>
      <c r="D22" s="227" t="s">
        <v>26</v>
      </c>
      <c r="E22" s="226"/>
      <c r="F22" s="226" t="s">
        <v>25</v>
      </c>
      <c r="G22" s="226" t="s">
        <v>25</v>
      </c>
      <c r="H22" s="226" t="s">
        <v>25</v>
      </c>
      <c r="I22" s="104"/>
      <c r="J22" s="104"/>
      <c r="K22" s="104"/>
      <c r="L22" s="104">
        <f>SUM(I22:J22)</f>
        <v>0</v>
      </c>
    </row>
    <row r="23" spans="1:17" s="1" customFormat="1" ht="31.5" x14ac:dyDescent="0.25">
      <c r="A23" s="498"/>
      <c r="B23" s="499"/>
      <c r="C23" s="499"/>
      <c r="D23" s="327" t="str">
        <f>D17</f>
        <v>Администрация Туруханского муниципального округа</v>
      </c>
      <c r="E23" s="326">
        <f>E17</f>
        <v>281</v>
      </c>
      <c r="F23" s="326" t="str">
        <f>F17</f>
        <v>Х</v>
      </c>
      <c r="G23" s="326" t="str">
        <f t="shared" ref="G23:H23" si="3">G17</f>
        <v>Х</v>
      </c>
      <c r="H23" s="326" t="str">
        <f t="shared" si="3"/>
        <v>Х</v>
      </c>
      <c r="I23" s="104">
        <f>'пр к ПП1'!I23+'пр к ПП1'!I30+'пр к ПП1'!I35</f>
        <v>58203.754999999997</v>
      </c>
      <c r="J23" s="104">
        <f>'пр к ПП1'!J23+'пр к ПП1'!J30+'пр к ПП1'!J35</f>
        <v>58203.754999999997</v>
      </c>
      <c r="K23" s="104">
        <f>'пр к ПП1'!K23+'пр к ПП1'!K30+'пр к ПП1'!K35</f>
        <v>58203.754999999997</v>
      </c>
      <c r="L23" s="104">
        <f>SUM(I23:K23)</f>
        <v>174611.26499999998</v>
      </c>
    </row>
    <row r="24" spans="1:17" s="1" customFormat="1" ht="31.5" x14ac:dyDescent="0.25">
      <c r="A24" s="498"/>
      <c r="B24" s="499"/>
      <c r="C24" s="499"/>
      <c r="D24" s="227" t="str">
        <f>D18</f>
        <v>Территориальное управление администрации Туруханского муниципального округа</v>
      </c>
      <c r="E24" s="226">
        <f>E18</f>
        <v>242</v>
      </c>
      <c r="F24" s="226" t="s">
        <v>25</v>
      </c>
      <c r="G24" s="226" t="s">
        <v>25</v>
      </c>
      <c r="H24" s="226" t="s">
        <v>25</v>
      </c>
      <c r="I24" s="104">
        <f>'пр к ПП1'!I31</f>
        <v>1650.83</v>
      </c>
      <c r="J24" s="104">
        <f>'пр к ПП1'!J31</f>
        <v>1650.83</v>
      </c>
      <c r="K24" s="104">
        <f>'пр к ПП1'!K31</f>
        <v>1650.83</v>
      </c>
      <c r="L24" s="104">
        <f t="shared" ref="L24:L25" si="4">SUM(I24:K24)</f>
        <v>4952.49</v>
      </c>
    </row>
    <row r="25" spans="1:17" s="1" customFormat="1" ht="47.25" x14ac:dyDescent="0.25">
      <c r="A25" s="498"/>
      <c r="B25" s="499"/>
      <c r="C25" s="499"/>
      <c r="D25" s="227" t="str">
        <f>D19</f>
        <v>Управление ЖКХ и строительства администрации Туруханского муниципального округа</v>
      </c>
      <c r="E25" s="226">
        <f>E19</f>
        <v>285</v>
      </c>
      <c r="F25" s="226" t="s">
        <v>25</v>
      </c>
      <c r="G25" s="226" t="s">
        <v>25</v>
      </c>
      <c r="H25" s="226" t="s">
        <v>25</v>
      </c>
      <c r="I25" s="104">
        <f>'пр к ПП1'!I32+'пр к ПП1'!I40+'пр к ПП1'!I41+'пр к ПП1'!I43</f>
        <v>43250</v>
      </c>
      <c r="J25" s="104">
        <f>'пр к ПП1'!J32+'пр к ПП1'!J40+'пр к ПП1'!J41+'пр к ПП1'!J43</f>
        <v>43250</v>
      </c>
      <c r="K25" s="104">
        <f>'пр к ПП1'!K32+'пр к ПП1'!K40+'пр к ПП1'!K41+'пр к ПП1'!K43</f>
        <v>43250</v>
      </c>
      <c r="L25" s="104">
        <f t="shared" si="4"/>
        <v>129750</v>
      </c>
    </row>
    <row r="26" spans="1:17" x14ac:dyDescent="0.25">
      <c r="A26" s="498" t="s">
        <v>59</v>
      </c>
      <c r="B26" s="499" t="s">
        <v>65</v>
      </c>
      <c r="C26" s="499" t="s">
        <v>324</v>
      </c>
      <c r="D26" s="279" t="s">
        <v>27</v>
      </c>
      <c r="E26" s="280"/>
      <c r="F26" s="280" t="s">
        <v>25</v>
      </c>
      <c r="G26" s="280" t="s">
        <v>25</v>
      </c>
      <c r="H26" s="280" t="s">
        <v>25</v>
      </c>
      <c r="I26" s="278">
        <f t="shared" ref="I26:K26" si="5">I28+I29+I30</f>
        <v>366507.77500000002</v>
      </c>
      <c r="J26" s="278">
        <f t="shared" si="5"/>
        <v>366507.77500000002</v>
      </c>
      <c r="K26" s="278">
        <f t="shared" si="5"/>
        <v>366507.77500000002</v>
      </c>
      <c r="L26" s="278">
        <f>L28+L29+L30</f>
        <v>1099523.325</v>
      </c>
      <c r="N26" s="163">
        <f>I26-'+ пр к ПП2'!I44</f>
        <v>0</v>
      </c>
      <c r="O26" s="163">
        <f>J26-'+ пр к ПП2'!J44</f>
        <v>0</v>
      </c>
      <c r="P26" s="163">
        <f>K26-'+ пр к ПП2'!K44</f>
        <v>0</v>
      </c>
    </row>
    <row r="27" spans="1:17" x14ac:dyDescent="0.25">
      <c r="A27" s="498"/>
      <c r="B27" s="499"/>
      <c r="C27" s="499"/>
      <c r="D27" s="109" t="s">
        <v>26</v>
      </c>
      <c r="E27" s="108"/>
      <c r="F27" s="108" t="s">
        <v>25</v>
      </c>
      <c r="G27" s="108" t="s">
        <v>25</v>
      </c>
      <c r="H27" s="108" t="s">
        <v>25</v>
      </c>
      <c r="I27" s="104"/>
      <c r="J27" s="104"/>
      <c r="K27" s="104"/>
      <c r="L27" s="104">
        <f>SUM(I27:J27)</f>
        <v>0</v>
      </c>
    </row>
    <row r="28" spans="1:17" ht="31.5" x14ac:dyDescent="0.25">
      <c r="A28" s="498"/>
      <c r="B28" s="499"/>
      <c r="C28" s="499"/>
      <c r="D28" s="109" t="str">
        <f>D17</f>
        <v>Администрация Туруханского муниципального округа</v>
      </c>
      <c r="E28" s="108">
        <f>E17</f>
        <v>281</v>
      </c>
      <c r="F28" s="108" t="s">
        <v>25</v>
      </c>
      <c r="G28" s="108" t="s">
        <v>25</v>
      </c>
      <c r="H28" s="108" t="s">
        <v>25</v>
      </c>
      <c r="I28" s="104">
        <f>'+ пр к ПП2'!I44</f>
        <v>366507.77500000002</v>
      </c>
      <c r="J28" s="104">
        <f>'+ пр к ПП2'!J44</f>
        <v>366507.77500000002</v>
      </c>
      <c r="K28" s="104">
        <f>'+ пр к ПП2'!K44</f>
        <v>366507.77500000002</v>
      </c>
      <c r="L28" s="104">
        <f>'+ пр к ПП2'!L44</f>
        <v>1099523.325</v>
      </c>
      <c r="M28" s="163">
        <f>I28+J28+K28-L26</f>
        <v>0</v>
      </c>
    </row>
    <row r="29" spans="1:17" ht="31.5" x14ac:dyDescent="0.25">
      <c r="A29" s="498"/>
      <c r="B29" s="499"/>
      <c r="C29" s="499"/>
      <c r="D29" s="109" t="str">
        <f>D18</f>
        <v>Территориальное управление администрации Туруханского муниципального округа</v>
      </c>
      <c r="E29" s="111">
        <f>E18</f>
        <v>242</v>
      </c>
      <c r="F29" s="108" t="s">
        <v>25</v>
      </c>
      <c r="G29" s="108" t="s">
        <v>25</v>
      </c>
      <c r="H29" s="108" t="s">
        <v>25</v>
      </c>
      <c r="I29" s="104">
        <f>'+ пр к ПП2'!I46</f>
        <v>0</v>
      </c>
      <c r="J29" s="104">
        <f>'+ пр к ПП2'!J46</f>
        <v>0</v>
      </c>
      <c r="K29" s="104">
        <f>'+ пр к ПП2'!K46</f>
        <v>0</v>
      </c>
      <c r="L29" s="104">
        <f>I29+J29+K29</f>
        <v>0</v>
      </c>
    </row>
    <row r="30" spans="1:17" ht="47.25" x14ac:dyDescent="0.25">
      <c r="A30" s="498"/>
      <c r="B30" s="499"/>
      <c r="C30" s="499"/>
      <c r="D30" s="109" t="str">
        <f>D19</f>
        <v>Управление ЖКХ и строительства администрации Туруханского муниципального округа</v>
      </c>
      <c r="E30" s="108">
        <f>E25</f>
        <v>285</v>
      </c>
      <c r="F30" s="108" t="s">
        <v>25</v>
      </c>
      <c r="G30" s="108" t="s">
        <v>25</v>
      </c>
      <c r="H30" s="108" t="s">
        <v>25</v>
      </c>
      <c r="I30" s="104">
        <f>'+ пр к ПП2'!I49</f>
        <v>0</v>
      </c>
      <c r="J30" s="104">
        <f>'+ пр к ПП2'!J49</f>
        <v>0</v>
      </c>
      <c r="K30" s="104">
        <f>'+ пр к ПП2'!K49</f>
        <v>0</v>
      </c>
      <c r="L30" s="104">
        <f>I30+J30+K30</f>
        <v>0</v>
      </c>
    </row>
    <row r="31" spans="1:17" s="1" customFormat="1" x14ac:dyDescent="0.25">
      <c r="A31" s="498" t="s">
        <v>61</v>
      </c>
      <c r="B31" s="499" t="s">
        <v>66</v>
      </c>
      <c r="C31" s="499" t="s">
        <v>347</v>
      </c>
      <c r="D31" s="279" t="s">
        <v>27</v>
      </c>
      <c r="E31" s="280"/>
      <c r="F31" s="280" t="s">
        <v>25</v>
      </c>
      <c r="G31" s="280" t="s">
        <v>25</v>
      </c>
      <c r="H31" s="280" t="s">
        <v>25</v>
      </c>
      <c r="I31" s="278">
        <f>'+пр к ПП3'!I27</f>
        <v>0</v>
      </c>
      <c r="J31" s="278">
        <f>'+пр к ПП3'!J27</f>
        <v>0</v>
      </c>
      <c r="K31" s="278"/>
      <c r="L31" s="278">
        <f>'+пр к ПП3'!L27</f>
        <v>0</v>
      </c>
    </row>
    <row r="32" spans="1:17" s="1" customFormat="1" x14ac:dyDescent="0.25">
      <c r="A32" s="498"/>
      <c r="B32" s="499"/>
      <c r="C32" s="499"/>
      <c r="D32" s="227" t="s">
        <v>26</v>
      </c>
      <c r="E32" s="226"/>
      <c r="F32" s="226" t="s">
        <v>25</v>
      </c>
      <c r="G32" s="226" t="s">
        <v>25</v>
      </c>
      <c r="H32" s="226" t="s">
        <v>25</v>
      </c>
      <c r="I32" s="104"/>
      <c r="J32" s="104"/>
      <c r="K32" s="104"/>
      <c r="L32" s="104">
        <f>SUM(I32:J32)</f>
        <v>0</v>
      </c>
    </row>
    <row r="33" spans="1:17" s="1" customFormat="1" ht="47.25" x14ac:dyDescent="0.25">
      <c r="A33" s="498"/>
      <c r="B33" s="499"/>
      <c r="C33" s="499"/>
      <c r="D33" s="227" t="str">
        <f>D19</f>
        <v>Управление ЖКХ и строительства администрации Туруханского муниципального округа</v>
      </c>
      <c r="E33" s="226">
        <f>E19</f>
        <v>285</v>
      </c>
      <c r="F33" s="226" t="s">
        <v>25</v>
      </c>
      <c r="G33" s="226" t="s">
        <v>25</v>
      </c>
      <c r="H33" s="226" t="s">
        <v>25</v>
      </c>
      <c r="I33" s="104">
        <f>'+пр к ПП3'!I18+'+пр к ПП3'!I20+'+пр к ПП3'!I24</f>
        <v>0</v>
      </c>
      <c r="J33" s="104">
        <f>'+пр к ПП3'!J18+'+пр к ПП3'!J20+'+пр к ПП3'!J24</f>
        <v>0</v>
      </c>
      <c r="K33" s="104"/>
      <c r="L33" s="104">
        <f>'+пр к ПП3'!L18+'+пр к ПП3'!L20+'+пр к ПП3'!L24</f>
        <v>0</v>
      </c>
    </row>
    <row r="34" spans="1:17" s="1" customFormat="1" ht="31.5" x14ac:dyDescent="0.25">
      <c r="A34" s="498"/>
      <c r="B34" s="499"/>
      <c r="C34" s="499"/>
      <c r="D34" s="227" t="str">
        <f>D20</f>
        <v>Управление образования администрации Туруханского муниципального округа</v>
      </c>
      <c r="E34" s="228">
        <f>E20</f>
        <v>283</v>
      </c>
      <c r="F34" s="226" t="s">
        <v>25</v>
      </c>
      <c r="G34" s="226" t="s">
        <v>25</v>
      </c>
      <c r="H34" s="226" t="s">
        <v>25</v>
      </c>
      <c r="I34" s="104">
        <f>'+пр к ПП3'!I16+'+пр к ПП3'!I17</f>
        <v>0</v>
      </c>
      <c r="J34" s="104">
        <f>'+пр к ПП3'!J16+'+пр к ПП3'!J17</f>
        <v>0</v>
      </c>
      <c r="K34" s="104"/>
      <c r="L34" s="104">
        <f>SUM(I34:J34)</f>
        <v>0</v>
      </c>
    </row>
    <row r="35" spans="1:17" x14ac:dyDescent="0.25">
      <c r="A35" s="498" t="s">
        <v>62</v>
      </c>
      <c r="B35" s="499" t="s">
        <v>67</v>
      </c>
      <c r="C35" s="499" t="s">
        <v>325</v>
      </c>
      <c r="D35" s="279" t="s">
        <v>27</v>
      </c>
      <c r="E35" s="280"/>
      <c r="F35" s="280" t="s">
        <v>25</v>
      </c>
      <c r="G35" s="280" t="s">
        <v>25</v>
      </c>
      <c r="H35" s="280" t="s">
        <v>25</v>
      </c>
      <c r="I35" s="278">
        <f t="shared" ref="I35:L35" si="6">I37+I38</f>
        <v>15600</v>
      </c>
      <c r="J35" s="278">
        <f t="shared" si="6"/>
        <v>15600</v>
      </c>
      <c r="K35" s="278">
        <f t="shared" si="6"/>
        <v>15600</v>
      </c>
      <c r="L35" s="278">
        <f t="shared" si="6"/>
        <v>46800</v>
      </c>
      <c r="N35" s="163">
        <f>I35-'+пр к ПП4'!I24</f>
        <v>0</v>
      </c>
      <c r="O35" s="163">
        <f>J35-'+пр к ПП4'!J24</f>
        <v>0</v>
      </c>
      <c r="P35" s="163">
        <f>K35-'+пр к ПП4'!K24</f>
        <v>0</v>
      </c>
      <c r="Q35" s="163">
        <f>L35-'+пр к ПП4'!L24</f>
        <v>0</v>
      </c>
    </row>
    <row r="36" spans="1:17" x14ac:dyDescent="0.25">
      <c r="A36" s="498"/>
      <c r="B36" s="499"/>
      <c r="C36" s="499"/>
      <c r="D36" s="109" t="s">
        <v>26</v>
      </c>
      <c r="E36" s="108"/>
      <c r="F36" s="108" t="s">
        <v>25</v>
      </c>
      <c r="G36" s="108" t="s">
        <v>25</v>
      </c>
      <c r="H36" s="108" t="s">
        <v>25</v>
      </c>
      <c r="I36" s="104"/>
      <c r="J36" s="104"/>
      <c r="K36" s="104"/>
      <c r="L36" s="104">
        <f>SUM(I36:J36)</f>
        <v>0</v>
      </c>
    </row>
    <row r="37" spans="1:17" ht="31.5" x14ac:dyDescent="0.25">
      <c r="A37" s="498"/>
      <c r="B37" s="499"/>
      <c r="C37" s="499"/>
      <c r="D37" s="109" t="str">
        <f>D17</f>
        <v>Администрация Туруханского муниципального округа</v>
      </c>
      <c r="E37" s="108">
        <f>E28</f>
        <v>281</v>
      </c>
      <c r="F37" s="108" t="s">
        <v>25</v>
      </c>
      <c r="G37" s="108" t="s">
        <v>25</v>
      </c>
      <c r="H37" s="108" t="s">
        <v>25</v>
      </c>
      <c r="I37" s="104">
        <f>'+пр к ПП4'!I24+'+пр к ПП4'!I22</f>
        <v>15600</v>
      </c>
      <c r="J37" s="104">
        <f>'+пр к ПП4'!J24</f>
        <v>15600</v>
      </c>
      <c r="K37" s="104">
        <f>'+пр к ПП4'!K24</f>
        <v>15600</v>
      </c>
      <c r="L37" s="104">
        <f>'+пр к ПП4'!L24</f>
        <v>46800</v>
      </c>
    </row>
    <row r="38" spans="1:17" ht="31.5" x14ac:dyDescent="0.25">
      <c r="A38" s="498"/>
      <c r="B38" s="499"/>
      <c r="C38" s="499"/>
      <c r="D38" s="109" t="str">
        <f>D18</f>
        <v>Территориальное управление администрации Туруханского муниципального округа</v>
      </c>
      <c r="E38" s="108">
        <f>E29</f>
        <v>242</v>
      </c>
      <c r="F38" s="108" t="s">
        <v>25</v>
      </c>
      <c r="G38" s="108" t="s">
        <v>25</v>
      </c>
      <c r="H38" s="108" t="s">
        <v>25</v>
      </c>
      <c r="I38" s="104">
        <f>'+пр к ПП4'!I20</f>
        <v>0</v>
      </c>
      <c r="J38" s="104">
        <f>'+пр к ПП4'!J20</f>
        <v>0</v>
      </c>
      <c r="K38" s="104">
        <f>'+пр к ПП4'!K20</f>
        <v>0</v>
      </c>
      <c r="L38" s="104">
        <f>SUM(I38:J38)</f>
        <v>0</v>
      </c>
    </row>
    <row r="46" spans="1:17" x14ac:dyDescent="0.25">
      <c r="B46" s="117" t="s">
        <v>150</v>
      </c>
    </row>
    <row r="47" spans="1:17" x14ac:dyDescent="0.25">
      <c r="B47" s="117" t="s">
        <v>151</v>
      </c>
      <c r="I47" s="117" t="b">
        <f>I21='пр к ПП1'!I45</f>
        <v>1</v>
      </c>
      <c r="J47" s="117" t="b">
        <f>J21='пр к ПП1'!K45</f>
        <v>1</v>
      </c>
      <c r="L47" s="117" t="b">
        <f>L21='пр к ПП1'!L45</f>
        <v>1</v>
      </c>
    </row>
    <row r="48" spans="1:17" x14ac:dyDescent="0.25">
      <c r="B48" s="117" t="s">
        <v>152</v>
      </c>
      <c r="I48" s="117" t="b">
        <f>I26='+ пр к ПП2'!I44</f>
        <v>1</v>
      </c>
      <c r="J48" s="117" t="b">
        <f>J26='+ пр к ПП2'!J44</f>
        <v>1</v>
      </c>
      <c r="L48" s="117" t="b">
        <f>L26='+ пр к ПП2'!L44</f>
        <v>1</v>
      </c>
    </row>
    <row r="49" spans="2:12" x14ac:dyDescent="0.25">
      <c r="B49" s="117" t="s">
        <v>153</v>
      </c>
      <c r="I49" s="117" t="b">
        <f>I31='+пр к ПП3'!I27</f>
        <v>1</v>
      </c>
      <c r="J49" s="117" t="b">
        <f>J31='+пр к ПП3'!J27</f>
        <v>1</v>
      </c>
      <c r="L49" s="117" t="b">
        <f>L31='+пр к ПП3'!L27</f>
        <v>1</v>
      </c>
    </row>
    <row r="50" spans="2:12" x14ac:dyDescent="0.25">
      <c r="B50" s="117" t="s">
        <v>154</v>
      </c>
      <c r="I50" s="117" t="b">
        <f>I35='+пр к ПП4'!I24</f>
        <v>1</v>
      </c>
      <c r="J50" s="117" t="b">
        <f>J35='+пр к ПП4'!J24</f>
        <v>1</v>
      </c>
      <c r="L50" s="117" t="b">
        <f>L35='+пр к ПП4'!L24</f>
        <v>1</v>
      </c>
    </row>
    <row r="53" spans="2:12" x14ac:dyDescent="0.25">
      <c r="B53" s="117" t="s">
        <v>151</v>
      </c>
      <c r="I53" s="141">
        <f>I21-'пр к ПП1'!I45</f>
        <v>0</v>
      </c>
      <c r="J53" s="141">
        <f>J21-'пр к ПП1'!K45</f>
        <v>0</v>
      </c>
      <c r="K53" s="141"/>
      <c r="L53" s="141">
        <f>L21-'пр к ПП1'!L45</f>
        <v>0</v>
      </c>
    </row>
    <row r="54" spans="2:12" x14ac:dyDescent="0.25">
      <c r="B54" s="117" t="s">
        <v>152</v>
      </c>
      <c r="I54" s="141">
        <f>I26-'+ пр к ПП2'!I44</f>
        <v>0</v>
      </c>
      <c r="J54" s="141">
        <f>J26-'+ пр к ПП2'!J44</f>
        <v>0</v>
      </c>
      <c r="K54" s="141"/>
      <c r="L54" s="141">
        <f>L26-'+ пр к ПП2'!L44</f>
        <v>0</v>
      </c>
    </row>
    <row r="55" spans="2:12" x14ac:dyDescent="0.25">
      <c r="B55" s="117" t="s">
        <v>153</v>
      </c>
      <c r="I55" s="141">
        <f>I31-'+пр к ПП3'!I27</f>
        <v>0</v>
      </c>
      <c r="J55" s="141">
        <f>J31-'+пр к ПП3'!J27</f>
        <v>0</v>
      </c>
      <c r="K55" s="141"/>
      <c r="L55" s="141">
        <f>L31-'+пр к ПП3'!L27</f>
        <v>0</v>
      </c>
    </row>
    <row r="56" spans="2:12" x14ac:dyDescent="0.25">
      <c r="B56" s="117" t="s">
        <v>154</v>
      </c>
      <c r="I56" s="141">
        <f>I35-'+пр к ПП4'!I24</f>
        <v>0</v>
      </c>
      <c r="J56" s="141">
        <f>J35-'+пр к ПП4'!J24</f>
        <v>0</v>
      </c>
      <c r="K56" s="141"/>
      <c r="L56" s="141">
        <f>L35-'+пр к ПП4'!L24</f>
        <v>0</v>
      </c>
    </row>
  </sheetData>
  <mergeCells count="27">
    <mergeCell ref="I1:L1"/>
    <mergeCell ref="A6:L6"/>
    <mergeCell ref="A31:A34"/>
    <mergeCell ref="B31:B34"/>
    <mergeCell ref="C31:C34"/>
    <mergeCell ref="A15:A20"/>
    <mergeCell ref="A7:L7"/>
    <mergeCell ref="A8:L8"/>
    <mergeCell ref="A9:L9"/>
    <mergeCell ref="A26:A30"/>
    <mergeCell ref="B26:B30"/>
    <mergeCell ref="C26:C30"/>
    <mergeCell ref="A35:A38"/>
    <mergeCell ref="B35:B38"/>
    <mergeCell ref="C35:C38"/>
    <mergeCell ref="I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5"/>
    <mergeCell ref="B21:B25"/>
    <mergeCell ref="C21:C25"/>
  </mergeCells>
  <pageMargins left="0.78740157480314965" right="0.78740157480314965" top="1.1811023622047245" bottom="0.15748031496062992" header="0.31496062992125984" footer="0.31496062992125984"/>
  <pageSetup paperSize="9" scale="59" firstPageNumber="45" fitToHeight="0" orientation="landscape" useFirstPageNumber="1" r:id="rId1"/>
  <headerFooter>
    <oddHeader>&amp;C&amp;P</oddHeader>
  </headerFooter>
  <rowBreaks count="1" manualBreakCount="1">
    <brk id="3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74"/>
  <sheetViews>
    <sheetView tabSelected="1" view="pageBreakPreview" topLeftCell="A6" zoomScale="70" zoomScaleNormal="70" zoomScaleSheetLayoutView="70" workbookViewId="0">
      <selection activeCell="E18" sqref="E18"/>
    </sheetView>
  </sheetViews>
  <sheetFormatPr defaultColWidth="9" defaultRowHeight="18.75" outlineLevelRow="1" outlineLevelCol="1" x14ac:dyDescent="0.3"/>
  <cols>
    <col min="1" max="1" width="5.375" style="142" customWidth="1"/>
    <col min="2" max="2" width="22.25" style="143" customWidth="1"/>
    <col min="3" max="3" width="25" style="143" customWidth="1"/>
    <col min="4" max="4" width="33.375" style="143" customWidth="1"/>
    <col min="5" max="7" width="15.625" style="4" customWidth="1"/>
    <col min="8" max="8" width="18.125" style="4" bestFit="1" customWidth="1"/>
    <col min="9" max="9" width="14.5" style="143" hidden="1" customWidth="1" outlineLevel="1"/>
    <col min="10" max="10" width="17.875" style="144" hidden="1" customWidth="1" outlineLevel="1"/>
    <col min="11" max="11" width="10.75" style="143" hidden="1" customWidth="1" outlineLevel="1"/>
    <col min="12" max="12" width="9" style="143" collapsed="1"/>
    <col min="13" max="17" width="9" style="143"/>
    <col min="18" max="18" width="12.125" style="143" bestFit="1" customWidth="1"/>
    <col min="19" max="16384" width="9" style="143"/>
  </cols>
  <sheetData>
    <row r="1" spans="1:11" ht="78.75" hidden="1" customHeight="1" outlineLevel="1" x14ac:dyDescent="0.3">
      <c r="A1" s="7"/>
      <c r="B1" s="4"/>
      <c r="C1" s="4"/>
      <c r="D1" s="4"/>
      <c r="E1" s="444"/>
      <c r="F1" s="444"/>
      <c r="G1" s="444"/>
      <c r="H1" s="444"/>
    </row>
    <row r="2" spans="1:11" ht="43.5" hidden="1" customHeight="1" outlineLevel="1" x14ac:dyDescent="0.3">
      <c r="A2" s="7"/>
      <c r="B2" s="4"/>
      <c r="C2" s="4"/>
      <c r="D2" s="4"/>
      <c r="E2" s="191"/>
      <c r="F2" s="191"/>
      <c r="G2" s="191"/>
      <c r="H2" s="191"/>
    </row>
    <row r="3" spans="1:11" collapsed="1" x14ac:dyDescent="0.3">
      <c r="A3" s="7"/>
      <c r="B3" s="4"/>
      <c r="C3" s="4"/>
      <c r="D3" s="4"/>
      <c r="E3" s="4" t="s">
        <v>105</v>
      </c>
    </row>
    <row r="4" spans="1:11" ht="53.25" customHeight="1" x14ac:dyDescent="0.3">
      <c r="A4" s="7"/>
      <c r="B4" s="4"/>
      <c r="C4" s="4"/>
      <c r="D4" s="4"/>
      <c r="E4" s="393" t="s">
        <v>356</v>
      </c>
      <c r="F4" s="393"/>
      <c r="G4" s="393"/>
      <c r="H4" s="393"/>
    </row>
    <row r="5" spans="1:11" x14ac:dyDescent="0.3">
      <c r="A5" s="107"/>
      <c r="B5" s="4"/>
      <c r="C5" s="4"/>
      <c r="D5" s="4"/>
    </row>
    <row r="6" spans="1:11" x14ac:dyDescent="0.3">
      <c r="A6" s="107"/>
      <c r="B6" s="4"/>
      <c r="C6" s="4"/>
      <c r="D6" s="4"/>
    </row>
    <row r="7" spans="1:11" x14ac:dyDescent="0.3">
      <c r="A7" s="383" t="s">
        <v>0</v>
      </c>
      <c r="B7" s="383"/>
      <c r="C7" s="383"/>
      <c r="D7" s="383"/>
      <c r="E7" s="383"/>
      <c r="F7" s="383"/>
      <c r="G7" s="383"/>
      <c r="H7" s="383"/>
    </row>
    <row r="8" spans="1:11" x14ac:dyDescent="0.3">
      <c r="A8" s="383" t="s">
        <v>31</v>
      </c>
      <c r="B8" s="383"/>
      <c r="C8" s="383"/>
      <c r="D8" s="383"/>
      <c r="E8" s="383"/>
      <c r="F8" s="383"/>
      <c r="G8" s="383"/>
      <c r="H8" s="383"/>
    </row>
    <row r="9" spans="1:11" x14ac:dyDescent="0.3">
      <c r="A9" s="383" t="s">
        <v>272</v>
      </c>
      <c r="B9" s="383"/>
      <c r="C9" s="383"/>
      <c r="D9" s="383"/>
      <c r="E9" s="383"/>
      <c r="F9" s="383"/>
      <c r="G9" s="383"/>
      <c r="H9" s="383"/>
    </row>
    <row r="10" spans="1:11" x14ac:dyDescent="0.3">
      <c r="A10" s="383" t="s">
        <v>352</v>
      </c>
      <c r="B10" s="383"/>
      <c r="C10" s="383"/>
      <c r="D10" s="383"/>
      <c r="E10" s="383"/>
      <c r="F10" s="383"/>
      <c r="G10" s="383"/>
      <c r="H10" s="383"/>
    </row>
    <row r="11" spans="1:11" x14ac:dyDescent="0.3">
      <c r="A11" s="383" t="s">
        <v>32</v>
      </c>
      <c r="B11" s="383"/>
      <c r="C11" s="383"/>
      <c r="D11" s="383"/>
      <c r="E11" s="383"/>
      <c r="F11" s="383"/>
      <c r="G11" s="383"/>
      <c r="H11" s="383"/>
    </row>
    <row r="12" spans="1:11" x14ac:dyDescent="0.3">
      <c r="A12" s="383" t="s">
        <v>33</v>
      </c>
      <c r="B12" s="383"/>
      <c r="C12" s="383"/>
      <c r="D12" s="383"/>
      <c r="E12" s="383"/>
      <c r="F12" s="383"/>
      <c r="G12" s="383"/>
      <c r="H12" s="383"/>
    </row>
    <row r="13" spans="1:11" ht="27" customHeight="1" x14ac:dyDescent="0.3">
      <c r="H13" s="3" t="s">
        <v>140</v>
      </c>
      <c r="I13" s="4"/>
      <c r="J13" s="32"/>
      <c r="K13" s="4"/>
    </row>
    <row r="14" spans="1:11" ht="27.75" customHeight="1" x14ac:dyDescent="0.3">
      <c r="A14" s="384" t="s">
        <v>14</v>
      </c>
      <c r="B14" s="500" t="s">
        <v>273</v>
      </c>
      <c r="C14" s="500" t="s">
        <v>274</v>
      </c>
      <c r="D14" s="384" t="s">
        <v>30</v>
      </c>
      <c r="E14" s="207">
        <v>2026</v>
      </c>
      <c r="F14" s="207">
        <f>E14+1</f>
        <v>2027</v>
      </c>
      <c r="G14" s="223">
        <f>F14+1</f>
        <v>2028</v>
      </c>
      <c r="H14" s="500" t="s">
        <v>19</v>
      </c>
      <c r="I14" s="4"/>
      <c r="J14" s="32"/>
      <c r="K14" s="4"/>
    </row>
    <row r="15" spans="1:11" x14ac:dyDescent="0.3">
      <c r="A15" s="384"/>
      <c r="B15" s="500"/>
      <c r="C15" s="500"/>
      <c r="D15" s="384"/>
      <c r="E15" s="207" t="s">
        <v>24</v>
      </c>
      <c r="F15" s="207" t="s">
        <v>24</v>
      </c>
      <c r="G15" s="223" t="s">
        <v>24</v>
      </c>
      <c r="H15" s="500"/>
      <c r="I15" s="4"/>
      <c r="J15" s="32"/>
      <c r="K15" s="4"/>
    </row>
    <row r="16" spans="1:11" ht="14.25" customHeight="1" x14ac:dyDescent="0.3">
      <c r="A16" s="108">
        <v>1</v>
      </c>
      <c r="B16" s="108">
        <v>2</v>
      </c>
      <c r="C16" s="108">
        <v>3</v>
      </c>
      <c r="D16" s="108">
        <v>4</v>
      </c>
      <c r="E16" s="207">
        <f>D16+1</f>
        <v>5</v>
      </c>
      <c r="F16" s="226">
        <v>6</v>
      </c>
      <c r="G16" s="226">
        <v>7</v>
      </c>
      <c r="H16" s="226">
        <v>8</v>
      </c>
      <c r="I16" s="4"/>
      <c r="J16" s="32"/>
      <c r="K16" s="4"/>
    </row>
    <row r="17" spans="1:19" ht="36" customHeight="1" x14ac:dyDescent="0.3">
      <c r="A17" s="498">
        <v>1</v>
      </c>
      <c r="B17" s="505" t="s">
        <v>275</v>
      </c>
      <c r="C17" s="505" t="str">
        <f>'+ Приложение 6'!C15</f>
        <v>Развитие транспортной системы и связи Туруханского муниципального округа</v>
      </c>
      <c r="D17" s="151" t="s">
        <v>29</v>
      </c>
      <c r="E17" s="166">
        <f>E19+E20+E21+E22+E23</f>
        <v>485212.36</v>
      </c>
      <c r="F17" s="166">
        <f t="shared" ref="F17" si="0">F19+F20+F21+F22+F23</f>
        <v>485212.36</v>
      </c>
      <c r="G17" s="166">
        <f>G19+G20+G21+G22+G23</f>
        <v>485212.36</v>
      </c>
      <c r="H17" s="166">
        <f>H19+H20+H21+H22+H23</f>
        <v>1455637.08</v>
      </c>
      <c r="I17" s="145">
        <f>H17-'+ Приложение 6'!L15</f>
        <v>0</v>
      </c>
      <c r="J17" s="246">
        <f t="shared" ref="J17:J51" si="1">SUM(E17:G17)</f>
        <v>1455637.08</v>
      </c>
      <c r="K17" s="143" t="b">
        <f>SUM(J19:J23)=J17</f>
        <v>1</v>
      </c>
      <c r="O17" s="145">
        <f>E17-'+ Приложение 6'!I15</f>
        <v>0</v>
      </c>
      <c r="P17" s="145">
        <f>F17-'+ Приложение 6'!J15</f>
        <v>0</v>
      </c>
      <c r="Q17" s="145">
        <f>G17-'+ Приложение 6'!K15</f>
        <v>0</v>
      </c>
      <c r="R17" s="145">
        <f>H17-'+ Приложение 6'!L15</f>
        <v>0</v>
      </c>
      <c r="S17" s="145"/>
    </row>
    <row r="18" spans="1:19" x14ac:dyDescent="0.3">
      <c r="A18" s="498"/>
      <c r="B18" s="505"/>
      <c r="C18" s="505"/>
      <c r="D18" s="109" t="s">
        <v>15</v>
      </c>
      <c r="E18" s="167"/>
      <c r="F18" s="167"/>
      <c r="G18" s="167"/>
      <c r="H18" s="167"/>
      <c r="I18" s="145"/>
      <c r="J18" s="246">
        <f t="shared" si="1"/>
        <v>0</v>
      </c>
    </row>
    <row r="19" spans="1:19" x14ac:dyDescent="0.3">
      <c r="A19" s="498"/>
      <c r="B19" s="505"/>
      <c r="C19" s="505"/>
      <c r="D19" s="5" t="s">
        <v>69</v>
      </c>
      <c r="E19" s="167">
        <f t="shared" ref="E19:F19" si="2">E26+E33+E40+E47</f>
        <v>0</v>
      </c>
      <c r="F19" s="167">
        <f t="shared" si="2"/>
        <v>0</v>
      </c>
      <c r="G19" s="167">
        <f t="shared" ref="G19" si="3">G26+G33+G40+G47</f>
        <v>0</v>
      </c>
      <c r="H19" s="167">
        <f>SUM(E19:F19)</f>
        <v>0</v>
      </c>
      <c r="I19" s="145"/>
      <c r="J19" s="246">
        <f t="shared" si="1"/>
        <v>0</v>
      </c>
    </row>
    <row r="20" spans="1:19" x14ac:dyDescent="0.3">
      <c r="A20" s="498"/>
      <c r="B20" s="505"/>
      <c r="C20" s="505"/>
      <c r="D20" s="109" t="s">
        <v>70</v>
      </c>
      <c r="E20" s="167">
        <f t="shared" ref="E20:F20" si="4">E27+E34+E41+E48</f>
        <v>0</v>
      </c>
      <c r="F20" s="167">
        <f t="shared" si="4"/>
        <v>0</v>
      </c>
      <c r="G20" s="167">
        <f t="shared" ref="G20" si="5">G27+G34+G41+G48</f>
        <v>0</v>
      </c>
      <c r="H20" s="167">
        <f>SUM(E20:F20)</f>
        <v>0</v>
      </c>
      <c r="I20" s="145"/>
      <c r="J20" s="246">
        <f t="shared" si="1"/>
        <v>0</v>
      </c>
    </row>
    <row r="21" spans="1:19" x14ac:dyDescent="0.3">
      <c r="A21" s="498"/>
      <c r="B21" s="505"/>
      <c r="C21" s="505"/>
      <c r="D21" s="109" t="s">
        <v>353</v>
      </c>
      <c r="E21" s="167">
        <f>E28+E35+E42+E49</f>
        <v>485212.36</v>
      </c>
      <c r="F21" s="167">
        <f t="shared" ref="F21:G21" si="6">F28+F35+F42+F49</f>
        <v>485212.36</v>
      </c>
      <c r="G21" s="167">
        <f t="shared" si="6"/>
        <v>485212.36</v>
      </c>
      <c r="H21" s="167">
        <f>H28+H35+H42+H49</f>
        <v>1455637.08</v>
      </c>
      <c r="I21" s="145"/>
      <c r="J21" s="246">
        <f t="shared" si="1"/>
        <v>1455637.08</v>
      </c>
    </row>
    <row r="22" spans="1:19" ht="32.25" x14ac:dyDescent="0.3">
      <c r="A22" s="498"/>
      <c r="B22" s="505"/>
      <c r="C22" s="505"/>
      <c r="D22" s="6" t="s">
        <v>276</v>
      </c>
      <c r="E22" s="167">
        <f t="shared" ref="E22:F22" si="7">E29+E36+E43+E50</f>
        <v>0</v>
      </c>
      <c r="F22" s="167">
        <f t="shared" si="7"/>
        <v>0</v>
      </c>
      <c r="G22" s="167">
        <f t="shared" ref="G22" si="8">G29+G36+G43+G50</f>
        <v>0</v>
      </c>
      <c r="H22" s="167">
        <f>SUM(E22:F22)</f>
        <v>0</v>
      </c>
      <c r="I22" s="145"/>
      <c r="J22" s="246">
        <f t="shared" si="1"/>
        <v>0</v>
      </c>
    </row>
    <row r="23" spans="1:19" ht="19.5" thickBot="1" x14ac:dyDescent="0.35">
      <c r="A23" s="498"/>
      <c r="B23" s="505"/>
      <c r="C23" s="505"/>
      <c r="D23" s="109" t="s">
        <v>16</v>
      </c>
      <c r="E23" s="167">
        <f t="shared" ref="E23:F23" si="9">E30+E37+E44+E51</f>
        <v>0</v>
      </c>
      <c r="F23" s="167">
        <f t="shared" si="9"/>
        <v>0</v>
      </c>
      <c r="G23" s="167">
        <f t="shared" ref="G23" si="10">G30+G37+G44+G51</f>
        <v>0</v>
      </c>
      <c r="H23" s="167">
        <f>SUM(E23:F23)</f>
        <v>0</v>
      </c>
      <c r="I23" s="145"/>
      <c r="J23" s="246">
        <f t="shared" si="1"/>
        <v>0</v>
      </c>
    </row>
    <row r="24" spans="1:19" s="244" customFormat="1" ht="38.25" customHeight="1" x14ac:dyDescent="0.3">
      <c r="A24" s="498" t="s">
        <v>3</v>
      </c>
      <c r="B24" s="505" t="s">
        <v>10</v>
      </c>
      <c r="C24" s="505" t="str">
        <f>'+ Приложение 6'!C21</f>
        <v>Развитие транспортного комплекса, обеспечение сохранности и модернизации автомобильных дорог Туруханского муниципального округа</v>
      </c>
      <c r="D24" s="233" t="s">
        <v>29</v>
      </c>
      <c r="E24" s="166">
        <f>E28</f>
        <v>103104.58499999999</v>
      </c>
      <c r="F24" s="166">
        <f>F28</f>
        <v>103104.58499999999</v>
      </c>
      <c r="G24" s="166">
        <f>G28</f>
        <v>103104.58499999999</v>
      </c>
      <c r="H24" s="166">
        <f>SUM(E24:G24)</f>
        <v>309313.755</v>
      </c>
      <c r="I24" s="243">
        <f>H24-'+ Приложение 6'!L21</f>
        <v>0</v>
      </c>
      <c r="J24" s="246">
        <f t="shared" si="1"/>
        <v>309313.755</v>
      </c>
      <c r="K24" s="244" t="b">
        <f>SUM(J26:J30)=J24</f>
        <v>1</v>
      </c>
      <c r="O24" s="243">
        <f>E24-'+ Приложение 6'!I21</f>
        <v>0</v>
      </c>
      <c r="P24" s="243">
        <f>F24-'+ Приложение 6'!J21</f>
        <v>0</v>
      </c>
      <c r="Q24" s="243">
        <f>G24-'+ Приложение 6'!K21</f>
        <v>0</v>
      </c>
      <c r="R24" s="243">
        <f>H24-'+ Приложение 6'!L21</f>
        <v>0</v>
      </c>
    </row>
    <row r="25" spans="1:19" s="247" customFormat="1" x14ac:dyDescent="0.3">
      <c r="A25" s="498"/>
      <c r="B25" s="505"/>
      <c r="C25" s="505"/>
      <c r="D25" s="227" t="s">
        <v>15</v>
      </c>
      <c r="E25" s="167"/>
      <c r="F25" s="167"/>
      <c r="G25" s="167"/>
      <c r="H25" s="167"/>
      <c r="I25" s="245"/>
      <c r="J25" s="246">
        <f t="shared" si="1"/>
        <v>0</v>
      </c>
    </row>
    <row r="26" spans="1:19" s="247" customFormat="1" x14ac:dyDescent="0.3">
      <c r="A26" s="498"/>
      <c r="B26" s="505"/>
      <c r="C26" s="505"/>
      <c r="D26" s="5" t="s">
        <v>69</v>
      </c>
      <c r="E26" s="167"/>
      <c r="F26" s="167"/>
      <c r="G26" s="167"/>
      <c r="H26" s="167">
        <f>SUM(E26:F26)</f>
        <v>0</v>
      </c>
      <c r="I26" s="245"/>
      <c r="J26" s="246">
        <f t="shared" si="1"/>
        <v>0</v>
      </c>
    </row>
    <row r="27" spans="1:19" s="247" customFormat="1" x14ac:dyDescent="0.3">
      <c r="A27" s="498"/>
      <c r="B27" s="505"/>
      <c r="C27" s="505"/>
      <c r="D27" s="227" t="s">
        <v>70</v>
      </c>
      <c r="E27" s="167">
        <f>'пр к ПП1'!J38</f>
        <v>0</v>
      </c>
      <c r="F27" s="167">
        <f>'пр к ПП1'!K38</f>
        <v>0</v>
      </c>
      <c r="G27" s="167">
        <f>'пр к ПП1'!L38</f>
        <v>0</v>
      </c>
      <c r="H27" s="167">
        <f>SUM(E27:F27)</f>
        <v>0</v>
      </c>
      <c r="I27" s="245"/>
      <c r="J27" s="246">
        <f t="shared" si="1"/>
        <v>0</v>
      </c>
    </row>
    <row r="28" spans="1:19" s="247" customFormat="1" x14ac:dyDescent="0.3">
      <c r="A28" s="498"/>
      <c r="B28" s="505"/>
      <c r="C28" s="505"/>
      <c r="D28" s="227" t="str">
        <f>D21</f>
        <v>окружной бюджет</v>
      </c>
      <c r="E28" s="242">
        <f>'пр к ПП1'!I45</f>
        <v>103104.58499999999</v>
      </c>
      <c r="F28" s="242">
        <f>'пр к ПП1'!J45</f>
        <v>103104.58499999999</v>
      </c>
      <c r="G28" s="242">
        <f>'пр к ПП1'!K45</f>
        <v>103104.58499999999</v>
      </c>
      <c r="H28" s="242">
        <f>E28+F28+G28</f>
        <v>309313.755</v>
      </c>
      <c r="I28" s="245"/>
      <c r="J28" s="246">
        <f t="shared" si="1"/>
        <v>309313.755</v>
      </c>
    </row>
    <row r="29" spans="1:19" s="247" customFormat="1" ht="32.25" x14ac:dyDescent="0.3">
      <c r="A29" s="498"/>
      <c r="B29" s="505"/>
      <c r="C29" s="505"/>
      <c r="D29" s="6" t="s">
        <v>276</v>
      </c>
      <c r="E29" s="167"/>
      <c r="F29" s="167"/>
      <c r="G29" s="167"/>
      <c r="H29" s="167">
        <f>SUM(E29:F29)</f>
        <v>0</v>
      </c>
      <c r="I29" s="245"/>
      <c r="J29" s="246">
        <f t="shared" si="1"/>
        <v>0</v>
      </c>
    </row>
    <row r="30" spans="1:19" s="249" customFormat="1" ht="19.5" thickBot="1" x14ac:dyDescent="0.35">
      <c r="A30" s="498"/>
      <c r="B30" s="505"/>
      <c r="C30" s="505"/>
      <c r="D30" s="227" t="s">
        <v>16</v>
      </c>
      <c r="E30" s="167"/>
      <c r="F30" s="167"/>
      <c r="G30" s="167"/>
      <c r="H30" s="167">
        <f>SUM(E30:F30)</f>
        <v>0</v>
      </c>
      <c r="I30" s="248"/>
      <c r="J30" s="246">
        <f t="shared" si="1"/>
        <v>0</v>
      </c>
    </row>
    <row r="31" spans="1:19" s="244" customFormat="1" ht="36" customHeight="1" x14ac:dyDescent="0.3">
      <c r="A31" s="498" t="s">
        <v>59</v>
      </c>
      <c r="B31" s="505" t="s">
        <v>65</v>
      </c>
      <c r="C31" s="505" t="str">
        <f>'+ Приложение 6'!C26</f>
        <v>Организация транспортного обслуживания  на территории Туруханского муниципального округа</v>
      </c>
      <c r="D31" s="233" t="s">
        <v>29</v>
      </c>
      <c r="E31" s="166">
        <f t="shared" ref="E31:F31" si="11">SUM(E33:E37)</f>
        <v>366507.77500000002</v>
      </c>
      <c r="F31" s="166">
        <f t="shared" si="11"/>
        <v>366507.77500000002</v>
      </c>
      <c r="G31" s="166">
        <f t="shared" ref="G31" si="12">SUM(G33:G37)</f>
        <v>366507.77500000002</v>
      </c>
      <c r="H31" s="166">
        <f>SUM(H33:H37)</f>
        <v>1099523.325</v>
      </c>
      <c r="I31" s="243">
        <f>H31-'+ Приложение 6'!L26</f>
        <v>0</v>
      </c>
      <c r="J31" s="246">
        <f t="shared" si="1"/>
        <v>1099523.3250000002</v>
      </c>
      <c r="K31" s="244" t="b">
        <f>SUM(J33:J37)=J31</f>
        <v>1</v>
      </c>
      <c r="O31" s="243">
        <f>E31-'+ Приложение 6'!I26</f>
        <v>0</v>
      </c>
      <c r="P31" s="243">
        <f>F31-'+ Приложение 6'!J26</f>
        <v>0</v>
      </c>
      <c r="Q31" s="243">
        <f>G31-'+ Приложение 6'!K26</f>
        <v>0</v>
      </c>
      <c r="R31" s="243">
        <f>H31-'+ Приложение 6'!L26</f>
        <v>0</v>
      </c>
      <c r="S31" s="243"/>
    </row>
    <row r="32" spans="1:19" s="247" customFormat="1" x14ac:dyDescent="0.3">
      <c r="A32" s="498"/>
      <c r="B32" s="505"/>
      <c r="C32" s="505"/>
      <c r="D32" s="227" t="s">
        <v>15</v>
      </c>
      <c r="E32" s="167"/>
      <c r="F32" s="167"/>
      <c r="G32" s="167"/>
      <c r="H32" s="167"/>
      <c r="I32" s="245"/>
      <c r="J32" s="246">
        <f t="shared" si="1"/>
        <v>0</v>
      </c>
    </row>
    <row r="33" spans="1:18" s="247" customFormat="1" x14ac:dyDescent="0.3">
      <c r="A33" s="498"/>
      <c r="B33" s="505"/>
      <c r="C33" s="505"/>
      <c r="D33" s="5" t="s">
        <v>69</v>
      </c>
      <c r="E33" s="167"/>
      <c r="F33" s="167"/>
      <c r="G33" s="167"/>
      <c r="H33" s="167">
        <f>SUM(E33:F33)</f>
        <v>0</v>
      </c>
      <c r="I33" s="245"/>
      <c r="J33" s="246">
        <f t="shared" si="1"/>
        <v>0</v>
      </c>
    </row>
    <row r="34" spans="1:18" s="247" customFormat="1" x14ac:dyDescent="0.3">
      <c r="A34" s="498"/>
      <c r="B34" s="505"/>
      <c r="C34" s="505"/>
      <c r="D34" s="227" t="s">
        <v>70</v>
      </c>
      <c r="E34" s="242"/>
      <c r="F34" s="242"/>
      <c r="G34" s="242"/>
      <c r="H34" s="242">
        <f>SUM(E34:F34)</f>
        <v>0</v>
      </c>
      <c r="I34" s="245"/>
      <c r="J34" s="246">
        <f t="shared" si="1"/>
        <v>0</v>
      </c>
    </row>
    <row r="35" spans="1:18" s="247" customFormat="1" x14ac:dyDescent="0.3">
      <c r="A35" s="498"/>
      <c r="B35" s="505"/>
      <c r="C35" s="505"/>
      <c r="D35" s="227" t="str">
        <f>D21</f>
        <v>окружной бюджет</v>
      </c>
      <c r="E35" s="242">
        <f>'+ пр к ПП2'!I44</f>
        <v>366507.77500000002</v>
      </c>
      <c r="F35" s="242">
        <f>'+ пр к ПП2'!J44</f>
        <v>366507.77500000002</v>
      </c>
      <c r="G35" s="242">
        <f>'+ пр к ПП2'!K44</f>
        <v>366507.77500000002</v>
      </c>
      <c r="H35" s="242">
        <f>'+ пр к ПП2'!L44</f>
        <v>1099523.325</v>
      </c>
      <c r="I35" s="245"/>
      <c r="J35" s="246">
        <f t="shared" si="1"/>
        <v>1099523.3250000002</v>
      </c>
    </row>
    <row r="36" spans="1:18" s="247" customFormat="1" ht="32.25" x14ac:dyDescent="0.3">
      <c r="A36" s="498"/>
      <c r="B36" s="505"/>
      <c r="C36" s="505"/>
      <c r="D36" s="6" t="s">
        <v>276</v>
      </c>
      <c r="E36" s="167"/>
      <c r="F36" s="167"/>
      <c r="G36" s="167"/>
      <c r="H36" s="167">
        <f>SUM(E36:F36)</f>
        <v>0</v>
      </c>
      <c r="I36" s="245"/>
      <c r="J36" s="246">
        <f t="shared" si="1"/>
        <v>0</v>
      </c>
    </row>
    <row r="37" spans="1:18" s="249" customFormat="1" ht="19.5" thickBot="1" x14ac:dyDescent="0.35">
      <c r="A37" s="498"/>
      <c r="B37" s="505"/>
      <c r="C37" s="505"/>
      <c r="D37" s="227" t="s">
        <v>16</v>
      </c>
      <c r="E37" s="167"/>
      <c r="F37" s="167"/>
      <c r="G37" s="167"/>
      <c r="H37" s="167">
        <f>SUM(E37:F37)</f>
        <v>0</v>
      </c>
      <c r="I37" s="248"/>
      <c r="J37" s="246">
        <f t="shared" si="1"/>
        <v>0</v>
      </c>
    </row>
    <row r="38" spans="1:18" s="244" customFormat="1" ht="36.75" customHeight="1" x14ac:dyDescent="0.3">
      <c r="A38" s="498" t="s">
        <v>61</v>
      </c>
      <c r="B38" s="505" t="s">
        <v>66</v>
      </c>
      <c r="C38" s="505" t="str">
        <f>'+ Приложение 6'!C31</f>
        <v>Безопасность дорожного движения в Туруханском муниципальном округе</v>
      </c>
      <c r="D38" s="233" t="s">
        <v>29</v>
      </c>
      <c r="E38" s="166">
        <f t="shared" ref="E38:F38" si="13">SUM(E40:E44)</f>
        <v>0</v>
      </c>
      <c r="F38" s="166">
        <f t="shared" si="13"/>
        <v>0</v>
      </c>
      <c r="G38" s="166">
        <f t="shared" ref="G38" si="14">SUM(G40:G44)</f>
        <v>0</v>
      </c>
      <c r="H38" s="166">
        <f>SUM(E38:F38)</f>
        <v>0</v>
      </c>
      <c r="I38" s="250">
        <f>H38-'+ Приложение 6'!L31</f>
        <v>0</v>
      </c>
      <c r="J38" s="246">
        <f t="shared" si="1"/>
        <v>0</v>
      </c>
      <c r="K38" s="244" t="b">
        <f>SUM(J40:J44)=J38</f>
        <v>1</v>
      </c>
      <c r="O38" s="243">
        <f>E38-'+ Приложение 6'!I31</f>
        <v>0</v>
      </c>
      <c r="P38" s="243">
        <f>F38-'+ Приложение 6'!J31</f>
        <v>0</v>
      </c>
      <c r="Q38" s="243">
        <f>G38-'+ Приложение 6'!K31</f>
        <v>0</v>
      </c>
      <c r="R38" s="243">
        <f>H38-'+ Приложение 6'!L31</f>
        <v>0</v>
      </c>
    </row>
    <row r="39" spans="1:18" s="247" customFormat="1" x14ac:dyDescent="0.3">
      <c r="A39" s="498"/>
      <c r="B39" s="505"/>
      <c r="C39" s="505"/>
      <c r="D39" s="227" t="s">
        <v>15</v>
      </c>
      <c r="E39" s="167"/>
      <c r="F39" s="167"/>
      <c r="G39" s="167"/>
      <c r="H39" s="167"/>
      <c r="I39" s="245"/>
      <c r="J39" s="246">
        <f t="shared" si="1"/>
        <v>0</v>
      </c>
    </row>
    <row r="40" spans="1:18" s="247" customFormat="1" x14ac:dyDescent="0.3">
      <c r="A40" s="498"/>
      <c r="B40" s="505"/>
      <c r="C40" s="505"/>
      <c r="D40" s="5" t="s">
        <v>69</v>
      </c>
      <c r="E40" s="167"/>
      <c r="F40" s="167"/>
      <c r="G40" s="167"/>
      <c r="H40" s="167">
        <f>SUM(E40:F40)</f>
        <v>0</v>
      </c>
      <c r="I40" s="245"/>
      <c r="J40" s="246">
        <f t="shared" si="1"/>
        <v>0</v>
      </c>
    </row>
    <row r="41" spans="1:18" s="247" customFormat="1" x14ac:dyDescent="0.3">
      <c r="A41" s="498"/>
      <c r="B41" s="505"/>
      <c r="C41" s="505"/>
      <c r="D41" s="227" t="s">
        <v>70</v>
      </c>
      <c r="E41" s="242">
        <f>'+пр к ПП3'!I19+'+пр к ПП3'!I23</f>
        <v>0</v>
      </c>
      <c r="F41" s="242">
        <f>'+пр к ПП3'!J19+'+пр к ПП3'!J23</f>
        <v>0</v>
      </c>
      <c r="G41" s="242">
        <f>'+пр к ПП3'!L19+'+пр к ПП3'!L23</f>
        <v>0</v>
      </c>
      <c r="H41" s="242">
        <f>SUM(E41:F41)</f>
        <v>0</v>
      </c>
      <c r="I41" s="245"/>
      <c r="J41" s="246">
        <f t="shared" si="1"/>
        <v>0</v>
      </c>
    </row>
    <row r="42" spans="1:18" s="247" customFormat="1" x14ac:dyDescent="0.3">
      <c r="A42" s="498"/>
      <c r="B42" s="505"/>
      <c r="C42" s="505"/>
      <c r="D42" s="227" t="str">
        <f>D21</f>
        <v>окружной бюджет</v>
      </c>
      <c r="E42" s="167">
        <f>'+пр к ПП3'!I17</f>
        <v>0</v>
      </c>
      <c r="F42" s="167">
        <f>'+пр к ПП3'!J17</f>
        <v>0</v>
      </c>
      <c r="G42" s="167">
        <f>'+пр к ПП3'!L17</f>
        <v>0</v>
      </c>
      <c r="H42" s="167">
        <f>SUM(E42:F42)</f>
        <v>0</v>
      </c>
      <c r="I42" s="245"/>
      <c r="J42" s="246">
        <f t="shared" si="1"/>
        <v>0</v>
      </c>
    </row>
    <row r="43" spans="1:18" s="247" customFormat="1" ht="32.25" x14ac:dyDescent="0.3">
      <c r="A43" s="498"/>
      <c r="B43" s="505"/>
      <c r="C43" s="505"/>
      <c r="D43" s="6" t="s">
        <v>276</v>
      </c>
      <c r="E43" s="167"/>
      <c r="F43" s="167"/>
      <c r="G43" s="167"/>
      <c r="H43" s="167">
        <f>SUM(E43:F43)</f>
        <v>0</v>
      </c>
      <c r="I43" s="245"/>
      <c r="J43" s="246">
        <f t="shared" si="1"/>
        <v>0</v>
      </c>
    </row>
    <row r="44" spans="1:18" s="249" customFormat="1" ht="19.5" thickBot="1" x14ac:dyDescent="0.35">
      <c r="A44" s="498"/>
      <c r="B44" s="505"/>
      <c r="C44" s="505"/>
      <c r="D44" s="227" t="s">
        <v>16</v>
      </c>
      <c r="E44" s="167"/>
      <c r="F44" s="167"/>
      <c r="G44" s="167"/>
      <c r="H44" s="167">
        <f>SUM(E44:F44)</f>
        <v>0</v>
      </c>
      <c r="I44" s="248"/>
      <c r="J44" s="246">
        <f t="shared" si="1"/>
        <v>0</v>
      </c>
    </row>
    <row r="45" spans="1:18" s="147" customFormat="1" ht="38.25" customHeight="1" x14ac:dyDescent="0.3">
      <c r="A45" s="498" t="s">
        <v>62</v>
      </c>
      <c r="B45" s="505" t="s">
        <v>67</v>
      </c>
      <c r="C45" s="505" t="str">
        <f>'+ Приложение 6'!C35</f>
        <v>Развитие связи на территории Туруханского муниципального округа</v>
      </c>
      <c r="D45" s="151" t="s">
        <v>29</v>
      </c>
      <c r="E45" s="166">
        <f t="shared" ref="E45:F45" si="15">SUM(E47:E51)</f>
        <v>15600</v>
      </c>
      <c r="F45" s="166">
        <f t="shared" si="15"/>
        <v>15600</v>
      </c>
      <c r="G45" s="166">
        <f t="shared" ref="G45" si="16">SUM(G47:G51)</f>
        <v>15600</v>
      </c>
      <c r="H45" s="166">
        <f>SUM(E45:G45)</f>
        <v>46800</v>
      </c>
      <c r="I45" s="146">
        <f>H45-'+ Приложение 6'!L35</f>
        <v>0</v>
      </c>
      <c r="J45" s="246">
        <f t="shared" si="1"/>
        <v>46800</v>
      </c>
      <c r="K45" s="147" t="b">
        <f>SUM(J47:J51)=J45</f>
        <v>1</v>
      </c>
      <c r="O45" s="146">
        <f>E45-'+ Приложение 6'!I35</f>
        <v>0</v>
      </c>
      <c r="P45" s="146">
        <f>F45-'+ Приложение 6'!J35</f>
        <v>0</v>
      </c>
      <c r="Q45" s="146">
        <f>G45-'+ Приложение 6'!K35</f>
        <v>0</v>
      </c>
      <c r="R45" s="146">
        <f>H45-'+ Приложение 6'!L35</f>
        <v>0</v>
      </c>
    </row>
    <row r="46" spans="1:18" s="148" customFormat="1" x14ac:dyDescent="0.3">
      <c r="A46" s="498"/>
      <c r="B46" s="505"/>
      <c r="C46" s="505"/>
      <c r="D46" s="109" t="s">
        <v>15</v>
      </c>
      <c r="E46" s="167"/>
      <c r="F46" s="167"/>
      <c r="G46" s="167"/>
      <c r="H46" s="167"/>
      <c r="I46" s="105"/>
      <c r="J46" s="246">
        <f t="shared" si="1"/>
        <v>0</v>
      </c>
    </row>
    <row r="47" spans="1:18" s="148" customFormat="1" x14ac:dyDescent="0.3">
      <c r="A47" s="498"/>
      <c r="B47" s="505"/>
      <c r="C47" s="505"/>
      <c r="D47" s="5" t="s">
        <v>69</v>
      </c>
      <c r="E47" s="167"/>
      <c r="F47" s="167"/>
      <c r="G47" s="167"/>
      <c r="H47" s="167">
        <f>SUM(E47:F47)</f>
        <v>0</v>
      </c>
      <c r="I47" s="105"/>
      <c r="J47" s="246">
        <f t="shared" si="1"/>
        <v>0</v>
      </c>
    </row>
    <row r="48" spans="1:18" s="148" customFormat="1" x14ac:dyDescent="0.3">
      <c r="A48" s="498"/>
      <c r="B48" s="505"/>
      <c r="C48" s="505"/>
      <c r="D48" s="109" t="s">
        <v>70</v>
      </c>
      <c r="E48" s="167">
        <f>'+пр к ПП4'!I20+'+пр к ПП4'!I22</f>
        <v>0</v>
      </c>
      <c r="F48" s="167">
        <f>'+пр к ПП4'!J20+'+пр к ПП4'!J22</f>
        <v>0</v>
      </c>
      <c r="G48" s="167">
        <f>'+пр к ПП4'!K20+'+пр к ПП4'!K22</f>
        <v>0</v>
      </c>
      <c r="H48" s="167">
        <f>SUM(E48:F48)</f>
        <v>0</v>
      </c>
      <c r="I48" s="105"/>
      <c r="J48" s="246">
        <f t="shared" si="1"/>
        <v>0</v>
      </c>
    </row>
    <row r="49" spans="1:10" s="148" customFormat="1" x14ac:dyDescent="0.3">
      <c r="A49" s="498"/>
      <c r="B49" s="505"/>
      <c r="C49" s="505"/>
      <c r="D49" s="109" t="str">
        <f>D21</f>
        <v>окружной бюджет</v>
      </c>
      <c r="E49" s="167">
        <f>'+пр к ПП4'!I16</f>
        <v>15600</v>
      </c>
      <c r="F49" s="167">
        <f>'+пр к ПП4'!J16</f>
        <v>15600</v>
      </c>
      <c r="G49" s="167">
        <f>'+пр к ПП4'!K16</f>
        <v>15600</v>
      </c>
      <c r="H49" s="167">
        <f>SUM(E49:G49)</f>
        <v>46800</v>
      </c>
      <c r="I49" s="105"/>
      <c r="J49" s="246">
        <f t="shared" si="1"/>
        <v>46800</v>
      </c>
    </row>
    <row r="50" spans="1:10" s="148" customFormat="1" ht="32.25" x14ac:dyDescent="0.3">
      <c r="A50" s="498"/>
      <c r="B50" s="505"/>
      <c r="C50" s="505"/>
      <c r="D50" s="6" t="s">
        <v>276</v>
      </c>
      <c r="E50" s="167"/>
      <c r="F50" s="167"/>
      <c r="G50" s="167"/>
      <c r="H50" s="167">
        <f>SUM(E50:F50)</f>
        <v>0</v>
      </c>
      <c r="I50" s="105"/>
      <c r="J50" s="246">
        <f t="shared" si="1"/>
        <v>0</v>
      </c>
    </row>
    <row r="51" spans="1:10" s="150" customFormat="1" ht="19.5" thickBot="1" x14ac:dyDescent="0.35">
      <c r="A51" s="498"/>
      <c r="B51" s="505"/>
      <c r="C51" s="505"/>
      <c r="D51" s="109" t="s">
        <v>16</v>
      </c>
      <c r="E51" s="167"/>
      <c r="F51" s="167"/>
      <c r="G51" s="167"/>
      <c r="H51" s="167">
        <f>SUM(E51:F51)</f>
        <v>0</v>
      </c>
      <c r="I51" s="149"/>
      <c r="J51" s="246">
        <f t="shared" si="1"/>
        <v>0</v>
      </c>
    </row>
    <row r="52" spans="1:10" x14ac:dyDescent="0.3">
      <c r="A52" s="7"/>
      <c r="B52" s="4"/>
      <c r="C52" s="4"/>
      <c r="D52" s="4"/>
    </row>
    <row r="53" spans="1:10" x14ac:dyDescent="0.3">
      <c r="A53" s="7"/>
      <c r="B53" s="4"/>
      <c r="C53" s="4"/>
      <c r="D53" s="4"/>
    </row>
    <row r="54" spans="1:10" x14ac:dyDescent="0.3">
      <c r="A54" s="7"/>
      <c r="B54" s="4"/>
      <c r="C54" s="4"/>
      <c r="D54" s="4"/>
    </row>
    <row r="55" spans="1:10" x14ac:dyDescent="0.3">
      <c r="A55" s="7"/>
      <c r="B55" s="4"/>
      <c r="C55" s="4"/>
      <c r="D55" s="4"/>
    </row>
    <row r="56" spans="1:10" x14ac:dyDescent="0.3">
      <c r="A56" s="7"/>
      <c r="B56" s="4"/>
      <c r="C56" s="4"/>
      <c r="D56" s="4"/>
    </row>
    <row r="57" spans="1:10" x14ac:dyDescent="0.3">
      <c r="A57" s="7"/>
      <c r="B57" s="4"/>
      <c r="C57" s="4"/>
      <c r="D57" s="4"/>
    </row>
    <row r="58" spans="1:10" x14ac:dyDescent="0.3">
      <c r="A58" s="7"/>
      <c r="B58" s="4"/>
      <c r="C58" s="4"/>
      <c r="D58" s="4"/>
    </row>
    <row r="59" spans="1:10" s="117" customFormat="1" ht="15.75" outlineLevel="1" x14ac:dyDescent="0.25">
      <c r="A59" s="2"/>
      <c r="B59" s="1" t="s">
        <v>150</v>
      </c>
      <c r="C59" s="1"/>
      <c r="D59" s="1"/>
      <c r="E59" s="1"/>
      <c r="F59" s="1"/>
      <c r="G59" s="1"/>
      <c r="H59" s="1"/>
    </row>
    <row r="60" spans="1:10" s="117" customFormat="1" ht="15.75" outlineLevel="1" x14ac:dyDescent="0.25">
      <c r="A60" s="2"/>
      <c r="B60" s="1" t="s">
        <v>151</v>
      </c>
      <c r="C60" s="1"/>
      <c r="D60" s="1"/>
      <c r="E60" s="251" t="b">
        <f>E24='пр к ПП1'!I45</f>
        <v>1</v>
      </c>
      <c r="F60" s="1" t="b">
        <f>F24='пр к ПП1'!K45</f>
        <v>1</v>
      </c>
      <c r="G60" s="1"/>
      <c r="H60" s="1" t="b">
        <f>H24='пр к ПП1'!L45</f>
        <v>1</v>
      </c>
    </row>
    <row r="61" spans="1:10" s="117" customFormat="1" ht="15.75" outlineLevel="1" x14ac:dyDescent="0.25">
      <c r="A61" s="2"/>
      <c r="B61" s="1" t="s">
        <v>152</v>
      </c>
      <c r="C61" s="1"/>
      <c r="D61" s="1"/>
      <c r="E61" s="1" t="b">
        <f>E31='+ пр к ПП2'!I44</f>
        <v>1</v>
      </c>
      <c r="F61" s="1" t="b">
        <f>F31='+ пр к ПП2'!J44</f>
        <v>1</v>
      </c>
      <c r="G61" s="1"/>
      <c r="H61" s="1" t="b">
        <f>H31='+ пр к ПП2'!L44</f>
        <v>1</v>
      </c>
    </row>
    <row r="62" spans="1:10" s="117" customFormat="1" ht="15.75" outlineLevel="1" x14ac:dyDescent="0.25">
      <c r="A62" s="2"/>
      <c r="B62" s="1" t="s">
        <v>153</v>
      </c>
      <c r="C62" s="1"/>
      <c r="D62" s="1"/>
      <c r="E62" s="1" t="b">
        <f>E38='+пр к ПП3'!I27</f>
        <v>1</v>
      </c>
      <c r="F62" s="1" t="b">
        <f>F38='+пр к ПП3'!J27</f>
        <v>1</v>
      </c>
      <c r="G62" s="1"/>
      <c r="H62" s="1" t="b">
        <f>H38='+пр к ПП3'!L27</f>
        <v>1</v>
      </c>
    </row>
    <row r="63" spans="1:10" s="117" customFormat="1" ht="15.75" outlineLevel="1" x14ac:dyDescent="0.25">
      <c r="A63" s="2"/>
      <c r="B63" s="1" t="s">
        <v>154</v>
      </c>
      <c r="C63" s="1"/>
      <c r="D63" s="1"/>
      <c r="E63" s="1" t="b">
        <f>E45='+пр к ПП4'!I24</f>
        <v>1</v>
      </c>
      <c r="F63" s="1" t="b">
        <f>F45='+пр к ПП4'!J24</f>
        <v>1</v>
      </c>
      <c r="G63" s="1"/>
      <c r="H63" s="1" t="b">
        <f>H45='+пр к ПП4'!L24</f>
        <v>1</v>
      </c>
    </row>
    <row r="64" spans="1:10" s="117" customFormat="1" ht="15.75" outlineLevel="1" x14ac:dyDescent="0.25">
      <c r="A64" s="2"/>
      <c r="B64" s="1"/>
      <c r="C64" s="1"/>
      <c r="D64" s="1"/>
      <c r="E64" s="1"/>
      <c r="F64" s="1"/>
      <c r="G64" s="1"/>
      <c r="H64" s="1"/>
    </row>
    <row r="65" spans="1:9" s="117" customFormat="1" ht="15.75" outlineLevel="1" x14ac:dyDescent="0.25">
      <c r="A65" s="2"/>
      <c r="B65" s="1"/>
      <c r="C65" s="1"/>
      <c r="D65" s="1"/>
      <c r="E65" s="1"/>
      <c r="F65" s="1"/>
      <c r="G65" s="1"/>
      <c r="H65" s="1"/>
    </row>
    <row r="66" spans="1:9" s="117" customFormat="1" ht="15.75" outlineLevel="1" x14ac:dyDescent="0.25">
      <c r="A66" s="2"/>
      <c r="B66" s="1" t="s">
        <v>151</v>
      </c>
      <c r="C66" s="1"/>
      <c r="D66" s="1"/>
      <c r="E66" s="168">
        <f>E24-'пр к ПП1'!I45</f>
        <v>0</v>
      </c>
      <c r="F66" s="168">
        <f>F24-'пр к ПП1'!K45</f>
        <v>0</v>
      </c>
      <c r="G66" s="168"/>
      <c r="H66" s="168">
        <f>H24-'пр к ПП1'!L45</f>
        <v>0</v>
      </c>
      <c r="I66" s="141">
        <f>I33-'пр к ПП1'!L57</f>
        <v>0</v>
      </c>
    </row>
    <row r="67" spans="1:9" s="117" customFormat="1" ht="15.75" outlineLevel="1" x14ac:dyDescent="0.25">
      <c r="A67" s="2"/>
      <c r="B67" s="1" t="s">
        <v>152</v>
      </c>
      <c r="C67" s="1"/>
      <c r="D67" s="1"/>
      <c r="E67" s="168">
        <f>E31-'+ пр к ПП2'!I44</f>
        <v>0</v>
      </c>
      <c r="F67" s="168">
        <f>F31-'+ пр к ПП2'!J44</f>
        <v>0</v>
      </c>
      <c r="G67" s="168"/>
      <c r="H67" s="168">
        <f>H31-'+ пр к ПП2'!L44</f>
        <v>0</v>
      </c>
      <c r="I67" s="141" t="e">
        <f>I37-'+ пр к ПП2'!#REF!</f>
        <v>#REF!</v>
      </c>
    </row>
    <row r="68" spans="1:9" s="117" customFormat="1" ht="15.75" outlineLevel="1" x14ac:dyDescent="0.25">
      <c r="A68" s="2"/>
      <c r="B68" s="1" t="s">
        <v>153</v>
      </c>
      <c r="C68" s="1"/>
      <c r="D68" s="1"/>
      <c r="E68" s="168">
        <f>E38-'+пр к ПП3'!I27</f>
        <v>0</v>
      </c>
      <c r="F68" s="168">
        <f>F38-'+пр к ПП3'!J27</f>
        <v>0</v>
      </c>
      <c r="G68" s="168"/>
      <c r="H68" s="168">
        <f>H38-'+пр к ПП3'!L27</f>
        <v>0</v>
      </c>
      <c r="I68" s="141">
        <f>I41-'+пр к ПП3'!L30</f>
        <v>0</v>
      </c>
    </row>
    <row r="69" spans="1:9" s="117" customFormat="1" ht="15.75" outlineLevel="1" x14ac:dyDescent="0.25">
      <c r="A69" s="2"/>
      <c r="B69" s="1" t="s">
        <v>154</v>
      </c>
      <c r="C69" s="1"/>
      <c r="D69" s="1"/>
      <c r="E69" s="168">
        <f>E45-'+пр к ПП4'!I24</f>
        <v>0</v>
      </c>
      <c r="F69" s="168">
        <f>F45-'+пр к ПП4'!J24</f>
        <v>0</v>
      </c>
      <c r="G69" s="168"/>
      <c r="H69" s="168">
        <f>H45-'+пр к ПП4'!L24</f>
        <v>0</v>
      </c>
      <c r="I69" s="141">
        <f>I45-'+пр к ПП4'!L32</f>
        <v>0</v>
      </c>
    </row>
    <row r="70" spans="1:9" outlineLevel="1" x14ac:dyDescent="0.3">
      <c r="A70" s="7"/>
      <c r="B70" s="4"/>
      <c r="C70" s="4"/>
      <c r="D70" s="4"/>
    </row>
    <row r="71" spans="1:9" outlineLevel="1" x14ac:dyDescent="0.3">
      <c r="A71" s="7"/>
      <c r="B71" s="4"/>
      <c r="C71" s="4"/>
      <c r="D71" s="4"/>
    </row>
    <row r="72" spans="1:9" x14ac:dyDescent="0.3">
      <c r="A72" s="7"/>
      <c r="B72" s="4"/>
      <c r="C72" s="4"/>
      <c r="D72" s="4"/>
    </row>
    <row r="73" spans="1:9" x14ac:dyDescent="0.3">
      <c r="A73" s="7"/>
      <c r="B73" s="4"/>
      <c r="C73" s="4"/>
      <c r="D73" s="4"/>
    </row>
    <row r="74" spans="1:9" x14ac:dyDescent="0.3">
      <c r="A74" s="7"/>
      <c r="B74" s="4"/>
      <c r="C74" s="4"/>
      <c r="D74" s="4"/>
    </row>
  </sheetData>
  <mergeCells count="28">
    <mergeCell ref="A38:A44"/>
    <mergeCell ref="B38:B44"/>
    <mergeCell ref="C38:C44"/>
    <mergeCell ref="A45:A51"/>
    <mergeCell ref="H14:H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  <mergeCell ref="E1:H1"/>
    <mergeCell ref="A14:A15"/>
    <mergeCell ref="B14:B15"/>
    <mergeCell ref="C14:C15"/>
    <mergeCell ref="D14:D15"/>
    <mergeCell ref="A12:H12"/>
    <mergeCell ref="A11:H11"/>
    <mergeCell ref="E4:H4"/>
    <mergeCell ref="A7:H7"/>
    <mergeCell ref="A8:H8"/>
    <mergeCell ref="A9:H9"/>
    <mergeCell ref="A10:H10"/>
  </mergeCells>
  <pageMargins left="0.78740157480314965" right="0.59055118110236227" top="1.1811023622047245" bottom="0.19685039370078741" header="0.11811023622047245" footer="0"/>
  <pageSetup paperSize="9" scale="80" firstPageNumber="47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2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506"/>
      <c r="B1" s="507" t="s">
        <v>14</v>
      </c>
      <c r="C1" s="507" t="s">
        <v>114</v>
      </c>
      <c r="D1" s="507" t="s">
        <v>115</v>
      </c>
      <c r="E1" s="507" t="s">
        <v>116</v>
      </c>
      <c r="F1" s="507" t="s">
        <v>117</v>
      </c>
      <c r="G1" s="507"/>
      <c r="H1" s="507"/>
      <c r="I1" s="507"/>
      <c r="J1" s="507"/>
      <c r="K1" s="516"/>
      <c r="M1" s="507" t="s">
        <v>117</v>
      </c>
      <c r="N1" s="507"/>
      <c r="O1" s="507"/>
      <c r="P1" s="507"/>
    </row>
    <row r="2" spans="1:16" x14ac:dyDescent="0.25">
      <c r="A2" s="506"/>
      <c r="B2" s="507"/>
      <c r="C2" s="507"/>
      <c r="D2" s="507"/>
      <c r="E2" s="507"/>
      <c r="F2" s="507" t="s">
        <v>118</v>
      </c>
      <c r="G2" s="507"/>
      <c r="H2" s="507"/>
      <c r="I2" s="507"/>
      <c r="J2" s="507" t="s">
        <v>119</v>
      </c>
      <c r="K2" s="516"/>
      <c r="M2" s="507" t="s">
        <v>118</v>
      </c>
      <c r="N2" s="507"/>
      <c r="O2" s="507"/>
      <c r="P2" s="507"/>
    </row>
    <row r="3" spans="1:16" x14ac:dyDescent="0.25">
      <c r="A3" s="506"/>
      <c r="B3" s="507"/>
      <c r="C3" s="507"/>
      <c r="D3" s="507"/>
      <c r="E3" s="507"/>
      <c r="F3" s="507" t="s">
        <v>120</v>
      </c>
      <c r="G3" s="507"/>
      <c r="H3" s="507"/>
      <c r="I3" s="507" t="s">
        <v>121</v>
      </c>
      <c r="J3" s="507"/>
      <c r="K3" s="516"/>
      <c r="M3" s="507" t="s">
        <v>120</v>
      </c>
      <c r="N3" s="507"/>
      <c r="O3" s="507"/>
      <c r="P3" s="507" t="s">
        <v>121</v>
      </c>
    </row>
    <row r="4" spans="1:16" x14ac:dyDescent="0.25">
      <c r="A4" s="506"/>
      <c r="B4" s="507"/>
      <c r="C4" s="507"/>
      <c r="D4" s="507"/>
      <c r="E4" s="507"/>
      <c r="F4" s="88" t="e">
        <f>LEFT('+ Приложение 6'!#REF!,4)</f>
        <v>#REF!</v>
      </c>
      <c r="G4" s="88" t="str">
        <f>LEFT('+ Приложение 6'!I12,4)</f>
        <v>2026</v>
      </c>
      <c r="H4" s="88" t="str">
        <f>LEFT('+ Приложение 6'!J12,4)</f>
        <v>2027</v>
      </c>
      <c r="I4" s="507"/>
      <c r="J4" s="507"/>
      <c r="K4" s="516"/>
      <c r="M4" s="91" t="e">
        <f>F4</f>
        <v>#REF!</v>
      </c>
      <c r="N4" s="91" t="str">
        <f t="shared" ref="N4:O4" si="0">G4</f>
        <v>2026</v>
      </c>
      <c r="O4" s="91" t="str">
        <f t="shared" si="0"/>
        <v>2027</v>
      </c>
      <c r="P4" s="507"/>
    </row>
    <row r="5" spans="1:16" ht="15.75" customHeight="1" x14ac:dyDescent="0.25">
      <c r="A5" s="506"/>
      <c r="B5" s="508">
        <v>1</v>
      </c>
      <c r="C5" s="509" t="e">
        <f>'пр к ПП1'!#REF!</f>
        <v>#REF!</v>
      </c>
      <c r="D5" s="20" t="s">
        <v>130</v>
      </c>
      <c r="E5" s="507" t="s">
        <v>123</v>
      </c>
      <c r="F5" s="23">
        <f>SUM(F6:F12)</f>
        <v>26.370200000000004</v>
      </c>
      <c r="G5" s="23">
        <f t="shared" ref="G5:H5" si="1">SUM(G6:G12)</f>
        <v>27.398600000000002</v>
      </c>
      <c r="H5" s="23">
        <f t="shared" si="1"/>
        <v>28.467099999999999</v>
      </c>
      <c r="I5" s="23">
        <f t="shared" ref="I5:I20" si="2">SUM(F5:H5)</f>
        <v>82.235900000000001</v>
      </c>
      <c r="J5" s="507" t="s">
        <v>131</v>
      </c>
      <c r="K5" s="516"/>
      <c r="M5" s="63">
        <f>SUM(M6:M12)</f>
        <v>26370.2</v>
      </c>
      <c r="N5" s="63">
        <f t="shared" ref="N5:O5" si="3">SUM(N6:N12)</f>
        <v>27398.6</v>
      </c>
      <c r="O5" s="63">
        <f t="shared" si="3"/>
        <v>28467.1</v>
      </c>
      <c r="P5" s="62">
        <f t="shared" ref="P5" si="4">SUM(M5:O5)</f>
        <v>82235.899999999994</v>
      </c>
    </row>
    <row r="6" spans="1:16" ht="25.5" x14ac:dyDescent="0.25">
      <c r="A6" s="506"/>
      <c r="B6" s="508"/>
      <c r="C6" s="509"/>
      <c r="D6" s="14" t="s">
        <v>128</v>
      </c>
      <c r="E6" s="507"/>
      <c r="F6" s="31">
        <f>M6/1000</f>
        <v>3.9563999999999999</v>
      </c>
      <c r="G6" s="31">
        <f t="shared" ref="G6:H12" si="5">N6/1000</f>
        <v>4.1100000000000003</v>
      </c>
      <c r="H6" s="31">
        <f t="shared" si="5"/>
        <v>4.2709999999999999</v>
      </c>
      <c r="I6" s="23">
        <f t="shared" si="2"/>
        <v>12.337399999999999</v>
      </c>
      <c r="J6" s="507"/>
      <c r="K6" s="516"/>
      <c r="M6" s="53">
        <f>F35</f>
        <v>3956.4</v>
      </c>
      <c r="N6" s="53">
        <f t="shared" ref="N6:O12" si="6">G35</f>
        <v>4110</v>
      </c>
      <c r="O6" s="53">
        <f t="shared" si="6"/>
        <v>4271</v>
      </c>
      <c r="P6" s="62"/>
    </row>
    <row r="7" spans="1:16" ht="25.5" x14ac:dyDescent="0.25">
      <c r="A7" s="506"/>
      <c r="B7" s="508"/>
      <c r="C7" s="509"/>
      <c r="D7" s="14" t="s">
        <v>137</v>
      </c>
      <c r="E7" s="507"/>
      <c r="F7" s="31">
        <f t="shared" ref="F7:F12" si="7">M7/1000</f>
        <v>0.87920000000000009</v>
      </c>
      <c r="G7" s="31">
        <f t="shared" si="5"/>
        <v>0.91400000000000003</v>
      </c>
      <c r="H7" s="31">
        <f t="shared" si="5"/>
        <v>0.95</v>
      </c>
      <c r="I7" s="23">
        <f t="shared" si="2"/>
        <v>2.7431999999999999</v>
      </c>
      <c r="J7" s="507"/>
      <c r="K7" s="516"/>
      <c r="M7" s="53">
        <f t="shared" ref="M7:M12" si="8">F36</f>
        <v>879.2</v>
      </c>
      <c r="N7" s="53">
        <f t="shared" si="6"/>
        <v>914</v>
      </c>
      <c r="O7" s="53">
        <f t="shared" si="6"/>
        <v>950</v>
      </c>
      <c r="P7" s="62">
        <f t="shared" ref="P7:P20" si="9">SUM(M7:O7)</f>
        <v>2743.2</v>
      </c>
    </row>
    <row r="8" spans="1:16" ht="25.5" x14ac:dyDescent="0.25">
      <c r="A8" s="506"/>
      <c r="B8" s="508"/>
      <c r="C8" s="509"/>
      <c r="D8" s="14" t="s">
        <v>129</v>
      </c>
      <c r="E8" s="507"/>
      <c r="F8" s="31">
        <f t="shared" si="7"/>
        <v>2.8134000000000001</v>
      </c>
      <c r="G8" s="31">
        <f t="shared" si="5"/>
        <v>2.9220000000000002</v>
      </c>
      <c r="H8" s="31">
        <f t="shared" si="5"/>
        <v>3.036</v>
      </c>
      <c r="I8" s="23">
        <f t="shared" si="2"/>
        <v>8.7713999999999999</v>
      </c>
      <c r="J8" s="507"/>
      <c r="K8" s="516"/>
      <c r="M8" s="53">
        <f t="shared" si="8"/>
        <v>2813.4</v>
      </c>
      <c r="N8" s="53">
        <f t="shared" si="6"/>
        <v>2922</v>
      </c>
      <c r="O8" s="53">
        <f t="shared" si="6"/>
        <v>3036</v>
      </c>
      <c r="P8" s="62">
        <f t="shared" si="9"/>
        <v>8771.4</v>
      </c>
    </row>
    <row r="9" spans="1:16" ht="25.5" x14ac:dyDescent="0.25">
      <c r="A9" s="506"/>
      <c r="B9" s="508"/>
      <c r="C9" s="509"/>
      <c r="D9" s="14" t="s">
        <v>138</v>
      </c>
      <c r="E9" s="507"/>
      <c r="F9" s="31">
        <f t="shared" si="7"/>
        <v>0.87920000000000009</v>
      </c>
      <c r="G9" s="31">
        <f t="shared" si="5"/>
        <v>0.91400000000000003</v>
      </c>
      <c r="H9" s="31">
        <f t="shared" si="5"/>
        <v>0.95</v>
      </c>
      <c r="I9" s="23">
        <f t="shared" si="2"/>
        <v>2.7431999999999999</v>
      </c>
      <c r="J9" s="507"/>
      <c r="K9" s="516"/>
      <c r="M9" s="53">
        <f t="shared" si="8"/>
        <v>879.2</v>
      </c>
      <c r="N9" s="53">
        <f t="shared" si="6"/>
        <v>914</v>
      </c>
      <c r="O9" s="53">
        <f t="shared" si="6"/>
        <v>950</v>
      </c>
      <c r="P9" s="62">
        <f t="shared" si="9"/>
        <v>2743.2</v>
      </c>
    </row>
    <row r="10" spans="1:16" ht="25.5" customHeight="1" x14ac:dyDescent="0.25">
      <c r="A10" s="506"/>
      <c r="B10" s="508"/>
      <c r="C10" s="509"/>
      <c r="D10" s="68" t="s">
        <v>127</v>
      </c>
      <c r="E10" s="507"/>
      <c r="F10" s="31">
        <f t="shared" si="7"/>
        <v>8.0007999999999999</v>
      </c>
      <c r="G10" s="31">
        <f t="shared" si="5"/>
        <v>8.3125999999999998</v>
      </c>
      <c r="H10" s="31">
        <f t="shared" si="5"/>
        <v>8.6370000000000005</v>
      </c>
      <c r="I10" s="23">
        <f t="shared" si="2"/>
        <v>24.950400000000002</v>
      </c>
      <c r="J10" s="507"/>
      <c r="K10" s="516"/>
      <c r="M10" s="53">
        <f t="shared" si="8"/>
        <v>8000.8</v>
      </c>
      <c r="N10" s="53">
        <f t="shared" si="6"/>
        <v>8312.6</v>
      </c>
      <c r="O10" s="53">
        <f t="shared" si="6"/>
        <v>8637</v>
      </c>
      <c r="P10" s="62">
        <f t="shared" si="9"/>
        <v>24950.400000000001</v>
      </c>
    </row>
    <row r="11" spans="1:16" ht="25.5" x14ac:dyDescent="0.25">
      <c r="A11" s="506"/>
      <c r="B11" s="508"/>
      <c r="C11" s="509"/>
      <c r="D11" s="14" t="s">
        <v>126</v>
      </c>
      <c r="E11" s="507"/>
      <c r="F11" s="31">
        <f t="shared" si="7"/>
        <v>1.1434000000000002</v>
      </c>
      <c r="G11" s="31">
        <f t="shared" si="5"/>
        <v>1.19</v>
      </c>
      <c r="H11" s="31">
        <f t="shared" si="5"/>
        <v>1.2350000000000001</v>
      </c>
      <c r="I11" s="23">
        <f t="shared" si="2"/>
        <v>3.5684000000000005</v>
      </c>
      <c r="J11" s="507"/>
      <c r="K11" s="516"/>
      <c r="M11" s="53">
        <f t="shared" si="8"/>
        <v>1143.4000000000001</v>
      </c>
      <c r="N11" s="53">
        <f t="shared" si="6"/>
        <v>1190</v>
      </c>
      <c r="O11" s="53">
        <f t="shared" si="6"/>
        <v>1235</v>
      </c>
      <c r="P11" s="62">
        <f t="shared" si="9"/>
        <v>3568.4</v>
      </c>
    </row>
    <row r="12" spans="1:16" x14ac:dyDescent="0.25">
      <c r="A12" s="506"/>
      <c r="B12" s="508"/>
      <c r="C12" s="509"/>
      <c r="D12" s="14" t="s">
        <v>136</v>
      </c>
      <c r="E12" s="507"/>
      <c r="F12" s="31">
        <f t="shared" si="7"/>
        <v>8.6977999999999991</v>
      </c>
      <c r="G12" s="31">
        <f t="shared" si="5"/>
        <v>9.0359999999999996</v>
      </c>
      <c r="H12" s="31">
        <f t="shared" si="5"/>
        <v>9.3880999999999979</v>
      </c>
      <c r="I12" s="23">
        <f t="shared" si="2"/>
        <v>27.121899999999997</v>
      </c>
      <c r="J12" s="507"/>
      <c r="K12" s="516"/>
      <c r="M12" s="53">
        <f t="shared" si="8"/>
        <v>8697.7999999999993</v>
      </c>
      <c r="N12" s="53">
        <f t="shared" si="6"/>
        <v>9036</v>
      </c>
      <c r="O12" s="53">
        <f t="shared" si="6"/>
        <v>9388.0999999999985</v>
      </c>
      <c r="P12" s="62">
        <f t="shared" si="9"/>
        <v>27121.899999999998</v>
      </c>
    </row>
    <row r="13" spans="1:16" ht="15.75" customHeight="1" x14ac:dyDescent="0.25">
      <c r="A13" s="506"/>
      <c r="B13" s="508">
        <v>2</v>
      </c>
      <c r="C13" s="509" t="e">
        <f>'пр к ПП1'!#REF!</f>
        <v>#REF!</v>
      </c>
      <c r="D13" s="20" t="s">
        <v>130</v>
      </c>
      <c r="E13" s="507" t="s">
        <v>123</v>
      </c>
      <c r="F13" s="31">
        <f>SUM(F14:F20)</f>
        <v>11.636100000000001</v>
      </c>
      <c r="G13" s="31">
        <f t="shared" ref="G13:H13" si="10">SUM(G14:G20)</f>
        <v>13.9947</v>
      </c>
      <c r="H13" s="31">
        <f t="shared" si="10"/>
        <v>13.9947</v>
      </c>
      <c r="I13" s="23">
        <f t="shared" si="2"/>
        <v>39.625500000000002</v>
      </c>
      <c r="J13" s="512" t="s">
        <v>131</v>
      </c>
      <c r="K13" s="516"/>
      <c r="M13" s="64">
        <f>SUM(M14:M20)</f>
        <v>11636.1</v>
      </c>
      <c r="N13" s="64">
        <f t="shared" ref="N13:O13" si="11">SUM(N14:N20)</f>
        <v>13994.7</v>
      </c>
      <c r="O13" s="64">
        <f t="shared" si="11"/>
        <v>13994.7</v>
      </c>
      <c r="P13" s="62">
        <f t="shared" si="9"/>
        <v>39625.5</v>
      </c>
    </row>
    <row r="14" spans="1:16" ht="25.5" x14ac:dyDescent="0.25">
      <c r="A14" s="506"/>
      <c r="B14" s="508"/>
      <c r="C14" s="509"/>
      <c r="D14" s="14" t="s">
        <v>128</v>
      </c>
      <c r="E14" s="507"/>
      <c r="F14" s="31">
        <f t="shared" ref="F14:F20" si="12">M14/1000</f>
        <v>1.3959999999999999</v>
      </c>
      <c r="G14" s="31">
        <f t="shared" ref="G14:G20" si="13">N14/1000</f>
        <v>1.747684</v>
      </c>
      <c r="H14" s="31">
        <f t="shared" ref="H14:H20" si="14">O14/1000</f>
        <v>1.747684</v>
      </c>
      <c r="I14" s="23">
        <f t="shared" si="2"/>
        <v>4.8913679999999999</v>
      </c>
      <c r="J14" s="517"/>
      <c r="K14" s="516"/>
      <c r="M14" s="53">
        <f>F46</f>
        <v>1396</v>
      </c>
      <c r="N14" s="53">
        <f t="shared" ref="N14:O20" si="15">G46</f>
        <v>1747.684</v>
      </c>
      <c r="O14" s="53">
        <f t="shared" si="15"/>
        <v>1747.684</v>
      </c>
      <c r="P14" s="62">
        <f t="shared" si="9"/>
        <v>4891.3680000000004</v>
      </c>
    </row>
    <row r="15" spans="1:16" ht="25.5" x14ac:dyDescent="0.25">
      <c r="A15" s="506"/>
      <c r="B15" s="508"/>
      <c r="C15" s="509"/>
      <c r="D15" s="14" t="s">
        <v>137</v>
      </c>
      <c r="E15" s="507"/>
      <c r="F15" s="31">
        <f t="shared" si="12"/>
        <v>0.69799999999999995</v>
      </c>
      <c r="G15" s="31">
        <f t="shared" si="13"/>
        <v>0.87384400000000007</v>
      </c>
      <c r="H15" s="31">
        <f t="shared" si="14"/>
        <v>0.87384400000000007</v>
      </c>
      <c r="I15" s="23">
        <f t="shared" si="2"/>
        <v>2.4456880000000001</v>
      </c>
      <c r="J15" s="517"/>
      <c r="K15" s="516"/>
      <c r="M15" s="53">
        <f t="shared" ref="M15:M20" si="16">F47</f>
        <v>698</v>
      </c>
      <c r="N15" s="53">
        <f t="shared" si="15"/>
        <v>873.84400000000005</v>
      </c>
      <c r="O15" s="53">
        <f t="shared" si="15"/>
        <v>873.84400000000005</v>
      </c>
      <c r="P15" s="62">
        <f t="shared" si="9"/>
        <v>2445.6880000000001</v>
      </c>
    </row>
    <row r="16" spans="1:16" ht="25.5" x14ac:dyDescent="0.25">
      <c r="A16" s="506"/>
      <c r="B16" s="508"/>
      <c r="C16" s="509"/>
      <c r="D16" s="14" t="s">
        <v>129</v>
      </c>
      <c r="E16" s="507"/>
      <c r="F16" s="31">
        <f t="shared" si="12"/>
        <v>0.69799999999999995</v>
      </c>
      <c r="G16" s="31">
        <f t="shared" si="13"/>
        <v>0.87384400000000007</v>
      </c>
      <c r="H16" s="31">
        <f t="shared" si="14"/>
        <v>0.87384400000000007</v>
      </c>
      <c r="I16" s="23">
        <f t="shared" si="2"/>
        <v>2.4456880000000001</v>
      </c>
      <c r="J16" s="517"/>
      <c r="K16" s="516"/>
      <c r="M16" s="53">
        <f t="shared" si="16"/>
        <v>698</v>
      </c>
      <c r="N16" s="53">
        <f t="shared" si="15"/>
        <v>873.84400000000005</v>
      </c>
      <c r="O16" s="53">
        <f t="shared" si="15"/>
        <v>873.84400000000005</v>
      </c>
      <c r="P16" s="62">
        <f t="shared" si="9"/>
        <v>2445.6880000000001</v>
      </c>
    </row>
    <row r="17" spans="1:18" ht="25.5" x14ac:dyDescent="0.25">
      <c r="A17" s="506"/>
      <c r="B17" s="508"/>
      <c r="C17" s="509"/>
      <c r="D17" s="14" t="s">
        <v>138</v>
      </c>
      <c r="E17" s="507"/>
      <c r="F17" s="31">
        <f t="shared" si="12"/>
        <v>0.69799999999999995</v>
      </c>
      <c r="G17" s="31">
        <f t="shared" si="13"/>
        <v>0.87384400000000007</v>
      </c>
      <c r="H17" s="31">
        <f t="shared" si="14"/>
        <v>0.87384400000000007</v>
      </c>
      <c r="I17" s="23">
        <f t="shared" si="2"/>
        <v>2.4456880000000001</v>
      </c>
      <c r="J17" s="517"/>
      <c r="K17" s="516"/>
      <c r="M17" s="53">
        <f t="shared" si="16"/>
        <v>698</v>
      </c>
      <c r="N17" s="53">
        <f t="shared" si="15"/>
        <v>873.84400000000005</v>
      </c>
      <c r="O17" s="53">
        <f t="shared" si="15"/>
        <v>873.84400000000005</v>
      </c>
      <c r="P17" s="62">
        <f t="shared" si="9"/>
        <v>2445.6880000000001</v>
      </c>
    </row>
    <row r="18" spans="1:18" ht="25.5" customHeight="1" x14ac:dyDescent="0.25">
      <c r="A18" s="506"/>
      <c r="B18" s="508"/>
      <c r="C18" s="509"/>
      <c r="D18" s="92" t="s">
        <v>127</v>
      </c>
      <c r="E18" s="507"/>
      <c r="F18" s="31">
        <f t="shared" si="12"/>
        <v>5.1211000000000002</v>
      </c>
      <c r="G18" s="31">
        <f t="shared" si="13"/>
        <v>6.0293370000000008</v>
      </c>
      <c r="H18" s="31">
        <f t="shared" si="14"/>
        <v>6.0293370000000008</v>
      </c>
      <c r="I18" s="23">
        <f t="shared" si="2"/>
        <v>17.179774000000002</v>
      </c>
      <c r="J18" s="517"/>
      <c r="K18" s="516"/>
      <c r="M18" s="53">
        <f t="shared" si="16"/>
        <v>5121.1000000000004</v>
      </c>
      <c r="N18" s="53">
        <f t="shared" si="15"/>
        <v>6029.3370000000004</v>
      </c>
      <c r="O18" s="53">
        <f t="shared" si="15"/>
        <v>6029.3370000000004</v>
      </c>
      <c r="P18" s="62">
        <f t="shared" si="9"/>
        <v>17179.774000000001</v>
      </c>
    </row>
    <row r="19" spans="1:18" ht="25.5" x14ac:dyDescent="0.25">
      <c r="A19" s="506"/>
      <c r="B19" s="508"/>
      <c r="C19" s="509"/>
      <c r="D19" s="14" t="s">
        <v>126</v>
      </c>
      <c r="E19" s="507"/>
      <c r="F19" s="31">
        <f t="shared" si="12"/>
        <v>0</v>
      </c>
      <c r="G19" s="31">
        <f t="shared" si="13"/>
        <v>0</v>
      </c>
      <c r="H19" s="31">
        <f t="shared" si="14"/>
        <v>0</v>
      </c>
      <c r="I19" s="23">
        <f t="shared" si="2"/>
        <v>0</v>
      </c>
      <c r="J19" s="517"/>
      <c r="K19" s="516"/>
      <c r="M19" s="53">
        <f t="shared" si="16"/>
        <v>0</v>
      </c>
      <c r="N19" s="53">
        <f t="shared" si="15"/>
        <v>0</v>
      </c>
      <c r="O19" s="53">
        <f t="shared" si="15"/>
        <v>0</v>
      </c>
      <c r="P19" s="62">
        <f t="shared" si="9"/>
        <v>0</v>
      </c>
    </row>
    <row r="20" spans="1:18" ht="25.5" customHeight="1" x14ac:dyDescent="0.25">
      <c r="A20" s="506"/>
      <c r="B20" s="508"/>
      <c r="C20" s="509"/>
      <c r="D20" s="14" t="s">
        <v>136</v>
      </c>
      <c r="E20" s="507"/>
      <c r="F20" s="31">
        <f t="shared" si="12"/>
        <v>3.0249999999999999</v>
      </c>
      <c r="G20" s="31">
        <f t="shared" si="13"/>
        <v>3.5961469999999998</v>
      </c>
      <c r="H20" s="31">
        <f t="shared" si="14"/>
        <v>3.5961469999999998</v>
      </c>
      <c r="I20" s="23">
        <f t="shared" si="2"/>
        <v>10.217293999999999</v>
      </c>
      <c r="J20" s="513"/>
      <c r="K20" s="516"/>
      <c r="M20" s="53">
        <f t="shared" si="16"/>
        <v>3025</v>
      </c>
      <c r="N20" s="53">
        <f t="shared" si="15"/>
        <v>3596.1469999999999</v>
      </c>
      <c r="O20" s="53">
        <f t="shared" si="15"/>
        <v>3596.1469999999999</v>
      </c>
      <c r="P20" s="62">
        <f t="shared" si="9"/>
        <v>10217.294</v>
      </c>
    </row>
    <row r="21" spans="1:18" ht="93" customHeight="1" x14ac:dyDescent="0.25">
      <c r="A21" s="506"/>
      <c r="B21" s="66">
        <v>3</v>
      </c>
      <c r="C21" s="37" t="str">
        <f>'пр к ПП1'!B31</f>
        <v>Расходы на содержание дороги Туруханск - Селиваниха и дорог межселенной территории (дорожный фонд)</v>
      </c>
      <c r="D21" s="20" t="s">
        <v>132</v>
      </c>
      <c r="E21" s="33" t="s">
        <v>123</v>
      </c>
      <c r="F21" s="24" t="e">
        <f>('пр к ПП1'!#REF!+'пр к ПП1'!#REF!)/1000</f>
        <v>#REF!</v>
      </c>
      <c r="G21" s="24">
        <f>('пр к ПП1'!J32+'пр к ПП1'!J31)/1000</f>
        <v>6.8508300000000002</v>
      </c>
      <c r="H21" s="24">
        <f>('пр к ПП1'!K32+'пр к ПП1'!K31)/1000</f>
        <v>6.8508300000000002</v>
      </c>
      <c r="I21" s="23" t="e">
        <f>SUM(F21:H21)</f>
        <v>#REF!</v>
      </c>
      <c r="J21" s="65" t="s">
        <v>124</v>
      </c>
      <c r="K21" s="516"/>
    </row>
    <row r="22" spans="1:18" ht="109.5" customHeight="1" x14ac:dyDescent="0.25">
      <c r="A22" s="506"/>
      <c r="B22" s="66">
        <v>4</v>
      </c>
      <c r="C22" s="37" t="e">
        <f>'пр к ПП1'!B34:B35</f>
        <v>#VALUE!</v>
      </c>
      <c r="D22" s="20" t="s">
        <v>133</v>
      </c>
      <c r="E22" s="33" t="s">
        <v>134</v>
      </c>
      <c r="F22" s="23" t="e">
        <f>'пр к ПП1'!#REF!/1000</f>
        <v>#REF!</v>
      </c>
      <c r="G22" s="23">
        <f>'пр к ПП1'!J34/1000</f>
        <v>2.6387550000000002</v>
      </c>
      <c r="H22" s="23">
        <f>'пр к ПП1'!K34/1000</f>
        <v>2.6387550000000002</v>
      </c>
      <c r="I22" s="23">
        <f>'пр к ПП1'!L34/1000</f>
        <v>7.9162650000000001</v>
      </c>
      <c r="J22" s="65" t="s">
        <v>124</v>
      </c>
      <c r="K22" s="516"/>
    </row>
    <row r="23" spans="1:18" ht="109.5" customHeight="1" x14ac:dyDescent="0.25">
      <c r="A23" s="506"/>
      <c r="B23" s="510">
        <v>5</v>
      </c>
      <c r="C23" s="510" t="str">
        <f>'пр к ПП1'!B36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512" t="s">
        <v>132</v>
      </c>
      <c r="E23" s="514" t="s">
        <v>123</v>
      </c>
      <c r="F23" s="62" t="e">
        <f>'пр к ПП1'!#REF!/1000</f>
        <v>#REF!</v>
      </c>
      <c r="G23" s="62">
        <f>'пр к ПП1'!J36/1000</f>
        <v>0</v>
      </c>
      <c r="H23" s="62">
        <f>'пр к ПП1'!K36/1000</f>
        <v>0</v>
      </c>
      <c r="I23" s="62">
        <f>'пр к ПП1'!L36/1000</f>
        <v>0</v>
      </c>
      <c r="J23" s="93" t="s">
        <v>131</v>
      </c>
      <c r="K23" s="67"/>
    </row>
    <row r="24" spans="1:18" ht="109.5" customHeight="1" x14ac:dyDescent="0.25">
      <c r="A24" s="506"/>
      <c r="B24" s="511"/>
      <c r="C24" s="511"/>
      <c r="D24" s="513"/>
      <c r="E24" s="515"/>
      <c r="F24" s="62" t="e">
        <f>'пр к ПП1'!#REF!/1000</f>
        <v>#REF!</v>
      </c>
      <c r="G24" s="62">
        <f>'пр к ПП1'!J37/1000</f>
        <v>0</v>
      </c>
      <c r="H24" s="62">
        <f>'пр к ПП1'!K37/1000</f>
        <v>0</v>
      </c>
      <c r="I24" s="62">
        <f>'пр к ПП1'!L37/1000</f>
        <v>0</v>
      </c>
      <c r="J24" s="65" t="s">
        <v>124</v>
      </c>
      <c r="K24" s="94"/>
    </row>
    <row r="25" spans="1:18" ht="109.5" customHeight="1" x14ac:dyDescent="0.25">
      <c r="A25" s="506"/>
      <c r="B25" s="86">
        <v>6</v>
      </c>
      <c r="C25" s="37" t="str">
        <f>'пр к ПП1'!B41</f>
        <v xml:space="preserve">Подготовительные работы по устройству, устройство и содержание зимней автодороги Игарка - Светлогорск-Туруханск </v>
      </c>
      <c r="D25" s="20" t="s">
        <v>132</v>
      </c>
      <c r="E25" s="33" t="s">
        <v>123</v>
      </c>
      <c r="F25" s="23" t="e">
        <f>'пр к ПП1'!#REF!/1000</f>
        <v>#REF!</v>
      </c>
      <c r="G25" s="23">
        <f>'пр к ПП1'!J41/1000</f>
        <v>38.049999999999997</v>
      </c>
      <c r="H25" s="23">
        <f>'пр к ПП1'!K41/1000</f>
        <v>38.049999999999997</v>
      </c>
      <c r="I25" s="23">
        <f>'пр к ПП1'!L41/1000</f>
        <v>114.15</v>
      </c>
      <c r="J25" s="85" t="s">
        <v>124</v>
      </c>
      <c r="K25" s="87"/>
    </row>
    <row r="26" spans="1:18" x14ac:dyDescent="0.25">
      <c r="A26" s="506"/>
      <c r="B26" s="21"/>
      <c r="C26" s="43" t="s">
        <v>146</v>
      </c>
      <c r="D26" s="21" t="s">
        <v>25</v>
      </c>
      <c r="E26" s="21" t="s">
        <v>25</v>
      </c>
      <c r="F26" s="25" t="e">
        <f>F5+F13+F21+F22+F23+F24+F25</f>
        <v>#REF!</v>
      </c>
      <c r="G26" s="25">
        <f>G5+G13+G21+G22+G23+G24+G25</f>
        <v>88.932884999999999</v>
      </c>
      <c r="H26" s="25">
        <f t="shared" ref="H26:I26" si="17">H5+H13+H21+H22+H23+H24+H25</f>
        <v>90.001384999999999</v>
      </c>
      <c r="I26" s="25" t="e">
        <f t="shared" si="17"/>
        <v>#REF!</v>
      </c>
      <c r="J26" s="21" t="s">
        <v>25</v>
      </c>
      <c r="K26" s="34"/>
    </row>
    <row r="28" spans="1:18" s="27" customFormat="1" x14ac:dyDescent="0.25">
      <c r="B28" s="26"/>
      <c r="F28" s="28">
        <f>SUM(F6:F12,F14:F20)</f>
        <v>38.006300000000003</v>
      </c>
      <c r="G28" s="28">
        <f>SUM(G6:G12,G14:G20)</f>
        <v>41.393299999999996</v>
      </c>
      <c r="H28" s="28">
        <f>SUM(H6:H12,H14:H20)</f>
        <v>42.461799999999997</v>
      </c>
      <c r="I28" s="28">
        <f>SUM(I6:I12,I14:I20)</f>
        <v>121.86140000000002</v>
      </c>
      <c r="L28"/>
      <c r="M28"/>
      <c r="N28"/>
      <c r="O28"/>
      <c r="P28"/>
      <c r="Q28"/>
      <c r="R28"/>
    </row>
    <row r="29" spans="1:18" s="27" customFormat="1" x14ac:dyDescent="0.25">
      <c r="B29" s="26"/>
      <c r="F29" s="29" t="e">
        <f>('пр к ПП1'!#REF!+'пр к ПП1'!#REF!)/1000</f>
        <v>#REF!</v>
      </c>
      <c r="G29" s="29" t="e">
        <f>('пр к ПП1'!#REF!+'пр к ПП1'!#REF!)/1000</f>
        <v>#REF!</v>
      </c>
      <c r="H29" s="29" t="e">
        <f>('пр к ПП1'!#REF!+'пр к ПП1'!#REF!)/1000</f>
        <v>#REF!</v>
      </c>
      <c r="I29" s="29" t="e">
        <f>('пр к ПП1'!#REF!+'пр к ПП1'!#REF!)/1000</f>
        <v>#REF!</v>
      </c>
      <c r="L29"/>
      <c r="M29"/>
      <c r="N29"/>
      <c r="O29"/>
      <c r="P29"/>
      <c r="Q29"/>
      <c r="R29"/>
    </row>
    <row r="30" spans="1:18" s="27" customFormat="1" x14ac:dyDescent="0.25">
      <c r="B30" s="26"/>
      <c r="F30" s="29" t="e">
        <f>F28=F29</f>
        <v>#REF!</v>
      </c>
      <c r="G30" s="29" t="e">
        <f t="shared" ref="G30:I30" si="18">G28=G29</f>
        <v>#REF!</v>
      </c>
      <c r="H30" s="29" t="e">
        <f t="shared" si="18"/>
        <v>#REF!</v>
      </c>
      <c r="I30" s="29" t="e">
        <f t="shared" si="18"/>
        <v>#REF!</v>
      </c>
      <c r="L30"/>
      <c r="M30"/>
      <c r="N30"/>
      <c r="O30"/>
      <c r="P30"/>
      <c r="Q30"/>
      <c r="R30"/>
    </row>
    <row r="34" spans="2:8" s="96" customFormat="1" x14ac:dyDescent="0.25">
      <c r="B34" s="97"/>
      <c r="D34" s="98" t="s">
        <v>161</v>
      </c>
      <c r="F34" s="99" t="e">
        <f>F4</f>
        <v>#REF!</v>
      </c>
      <c r="G34" s="99" t="str">
        <f t="shared" ref="G34:H34" si="19">G4</f>
        <v>2026</v>
      </c>
      <c r="H34" s="99" t="str">
        <f t="shared" si="19"/>
        <v>2027</v>
      </c>
    </row>
    <row r="35" spans="2:8" s="96" customFormat="1" x14ac:dyDescent="0.25">
      <c r="B35" s="97"/>
      <c r="D35" s="100" t="s">
        <v>182</v>
      </c>
      <c r="F35" s="101">
        <v>3956.4</v>
      </c>
      <c r="G35" s="102">
        <v>4110</v>
      </c>
      <c r="H35" s="102">
        <v>4271</v>
      </c>
    </row>
    <row r="36" spans="2:8" s="96" customFormat="1" x14ac:dyDescent="0.25">
      <c r="B36" s="97"/>
      <c r="D36" s="100" t="s">
        <v>183</v>
      </c>
      <c r="F36" s="101">
        <v>879.2</v>
      </c>
      <c r="G36" s="102">
        <v>914</v>
      </c>
      <c r="H36" s="102">
        <v>950</v>
      </c>
    </row>
    <row r="37" spans="2:8" s="96" customFormat="1" x14ac:dyDescent="0.25">
      <c r="B37" s="97"/>
      <c r="D37" s="100" t="s">
        <v>184</v>
      </c>
      <c r="F37" s="101">
        <v>2813.4</v>
      </c>
      <c r="G37" s="102">
        <v>2922</v>
      </c>
      <c r="H37" s="102">
        <v>3036</v>
      </c>
    </row>
    <row r="38" spans="2:8" s="96" customFormat="1" x14ac:dyDescent="0.25">
      <c r="B38" s="97"/>
      <c r="D38" s="100" t="s">
        <v>185</v>
      </c>
      <c r="F38" s="101">
        <v>879.2</v>
      </c>
      <c r="G38" s="102">
        <v>914</v>
      </c>
      <c r="H38" s="102">
        <v>950</v>
      </c>
    </row>
    <row r="39" spans="2:8" s="96" customFormat="1" x14ac:dyDescent="0.25">
      <c r="B39" s="97"/>
      <c r="D39" s="100" t="s">
        <v>186</v>
      </c>
      <c r="F39" s="101">
        <v>8000.8</v>
      </c>
      <c r="G39" s="102">
        <v>8312.6</v>
      </c>
      <c r="H39" s="102">
        <v>8637</v>
      </c>
    </row>
    <row r="40" spans="2:8" s="96" customFormat="1" x14ac:dyDescent="0.25">
      <c r="B40" s="97"/>
      <c r="D40" s="100" t="s">
        <v>187</v>
      </c>
      <c r="F40" s="101">
        <v>1143.4000000000001</v>
      </c>
      <c r="G40" s="102">
        <v>1190</v>
      </c>
      <c r="H40" s="102">
        <v>1235</v>
      </c>
    </row>
    <row r="41" spans="2:8" s="96" customFormat="1" x14ac:dyDescent="0.25">
      <c r="B41" s="97"/>
      <c r="D41" s="100" t="s">
        <v>188</v>
      </c>
      <c r="F41" s="101">
        <v>8697.7999999999993</v>
      </c>
      <c r="G41" s="102">
        <v>9036</v>
      </c>
      <c r="H41" s="102">
        <v>9388.0999999999985</v>
      </c>
    </row>
    <row r="42" spans="2:8" s="96" customFormat="1" x14ac:dyDescent="0.25">
      <c r="B42" s="97"/>
      <c r="F42" s="103">
        <f>SUM(F35:F41)</f>
        <v>26370.2</v>
      </c>
      <c r="G42" s="103">
        <f t="shared" ref="G42:H42" si="20">SUM(G35:G41)</f>
        <v>27398.6</v>
      </c>
      <c r="H42" s="103">
        <f t="shared" si="20"/>
        <v>28467.1</v>
      </c>
    </row>
    <row r="43" spans="2:8" s="96" customFormat="1" x14ac:dyDescent="0.25">
      <c r="B43" s="97"/>
    </row>
    <row r="44" spans="2:8" s="96" customFormat="1" x14ac:dyDescent="0.25">
      <c r="B44" s="97"/>
    </row>
    <row r="45" spans="2:8" s="96" customFormat="1" x14ac:dyDescent="0.25">
      <c r="B45" s="97"/>
      <c r="D45" s="98" t="s">
        <v>160</v>
      </c>
      <c r="F45" s="99" t="e">
        <f>F34</f>
        <v>#REF!</v>
      </c>
      <c r="G45" s="99" t="str">
        <f t="shared" ref="G45:H45" si="21">G34</f>
        <v>2026</v>
      </c>
      <c r="H45" s="99" t="str">
        <f t="shared" si="21"/>
        <v>2027</v>
      </c>
    </row>
    <row r="46" spans="2:8" s="96" customFormat="1" x14ac:dyDescent="0.25">
      <c r="B46" s="97"/>
      <c r="D46" s="100" t="s">
        <v>182</v>
      </c>
      <c r="F46" s="101">
        <v>1396</v>
      </c>
      <c r="G46" s="102">
        <v>1747.684</v>
      </c>
      <c r="H46" s="102">
        <v>1747.684</v>
      </c>
    </row>
    <row r="47" spans="2:8" s="96" customFormat="1" x14ac:dyDescent="0.25">
      <c r="B47" s="97"/>
      <c r="D47" s="100" t="s">
        <v>183</v>
      </c>
      <c r="F47" s="101">
        <v>698</v>
      </c>
      <c r="G47" s="102">
        <v>873.84400000000005</v>
      </c>
      <c r="H47" s="102">
        <v>873.84400000000005</v>
      </c>
    </row>
    <row r="48" spans="2:8" s="96" customFormat="1" x14ac:dyDescent="0.25">
      <c r="B48" s="97"/>
      <c r="D48" s="100" t="s">
        <v>184</v>
      </c>
      <c r="F48" s="101">
        <v>698</v>
      </c>
      <c r="G48" s="102">
        <v>873.84400000000005</v>
      </c>
      <c r="H48" s="102">
        <v>873.84400000000005</v>
      </c>
    </row>
    <row r="49" spans="2:8" s="96" customFormat="1" x14ac:dyDescent="0.25">
      <c r="B49" s="97"/>
      <c r="D49" s="100" t="s">
        <v>185</v>
      </c>
      <c r="F49" s="101">
        <v>698</v>
      </c>
      <c r="G49" s="102">
        <v>873.84400000000005</v>
      </c>
      <c r="H49" s="102">
        <v>873.84400000000005</v>
      </c>
    </row>
    <row r="50" spans="2:8" s="96" customFormat="1" x14ac:dyDescent="0.25">
      <c r="B50" s="97"/>
      <c r="D50" s="100" t="s">
        <v>186</v>
      </c>
      <c r="F50" s="101">
        <v>5121.1000000000004</v>
      </c>
      <c r="G50" s="102">
        <v>6029.3370000000004</v>
      </c>
      <c r="H50" s="102">
        <v>6029.3370000000004</v>
      </c>
    </row>
    <row r="51" spans="2:8" s="96" customFormat="1" x14ac:dyDescent="0.25">
      <c r="B51" s="97"/>
      <c r="D51" s="100" t="s">
        <v>187</v>
      </c>
      <c r="F51" s="101"/>
      <c r="G51" s="102"/>
      <c r="H51" s="102"/>
    </row>
    <row r="52" spans="2:8" s="96" customFormat="1" x14ac:dyDescent="0.25">
      <c r="B52" s="97"/>
      <c r="D52" s="100" t="s">
        <v>188</v>
      </c>
      <c r="F52" s="101">
        <v>3025</v>
      </c>
      <c r="G52" s="102">
        <v>3596.1469999999999</v>
      </c>
      <c r="H52" s="102">
        <v>3596.1469999999999</v>
      </c>
    </row>
    <row r="53" spans="2:8" x14ac:dyDescent="0.25">
      <c r="F53" s="103">
        <f>SUM(F46:F52)</f>
        <v>11636.1</v>
      </c>
      <c r="G53" s="103">
        <f t="shared" ref="G53" si="22">SUM(G46:G52)</f>
        <v>13994.7</v>
      </c>
      <c r="H53" s="103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507" t="s">
        <v>14</v>
      </c>
      <c r="B1" s="507" t="s">
        <v>114</v>
      </c>
      <c r="C1" s="507" t="s">
        <v>115</v>
      </c>
      <c r="D1" s="507" t="s">
        <v>116</v>
      </c>
      <c r="E1" s="507" t="s">
        <v>117</v>
      </c>
      <c r="F1" s="507"/>
      <c r="G1" s="507"/>
      <c r="H1" s="507"/>
      <c r="I1" s="507"/>
    </row>
    <row r="2" spans="1:10" x14ac:dyDescent="0.25">
      <c r="A2" s="507"/>
      <c r="B2" s="507"/>
      <c r="C2" s="507"/>
      <c r="D2" s="507"/>
      <c r="E2" s="507" t="s">
        <v>118</v>
      </c>
      <c r="F2" s="507"/>
      <c r="G2" s="507"/>
      <c r="H2" s="507"/>
      <c r="I2" s="507" t="s">
        <v>119</v>
      </c>
    </row>
    <row r="3" spans="1:10" x14ac:dyDescent="0.25">
      <c r="A3" s="507"/>
      <c r="B3" s="507"/>
      <c r="C3" s="507"/>
      <c r="D3" s="507"/>
      <c r="E3" s="507" t="s">
        <v>120</v>
      </c>
      <c r="F3" s="507"/>
      <c r="G3" s="507"/>
      <c r="H3" s="507" t="s">
        <v>121</v>
      </c>
      <c r="I3" s="507"/>
    </row>
    <row r="4" spans="1:10" x14ac:dyDescent="0.25">
      <c r="A4" s="507"/>
      <c r="B4" s="507"/>
      <c r="C4" s="507"/>
      <c r="D4" s="507"/>
      <c r="E4" s="54">
        <v>2018</v>
      </c>
      <c r="F4" s="54">
        <v>2019</v>
      </c>
      <c r="G4" s="54">
        <v>2020</v>
      </c>
      <c r="H4" s="507"/>
      <c r="I4" s="507"/>
    </row>
    <row r="5" spans="1:10" ht="92.25" customHeight="1" x14ac:dyDescent="0.25">
      <c r="A5" s="13">
        <v>1</v>
      </c>
      <c r="B5" s="14" t="s">
        <v>71</v>
      </c>
      <c r="C5" s="519" t="s">
        <v>122</v>
      </c>
      <c r="D5" s="512" t="s">
        <v>123</v>
      </c>
      <c r="E5" s="56" t="e">
        <f>'+ пр к ПП2'!#REF!/1000</f>
        <v>#REF!</v>
      </c>
      <c r="F5" s="56">
        <f>'+ пр к ПП2'!I16/1000</f>
        <v>229.183222</v>
      </c>
      <c r="G5" s="56">
        <f>'+ пр к ПП2'!J16/1000</f>
        <v>229.183222</v>
      </c>
      <c r="H5" s="56" t="e">
        <f t="shared" ref="H5:H12" si="0">SUM(E5:G5)</f>
        <v>#REF!</v>
      </c>
      <c r="I5" s="13" t="s">
        <v>124</v>
      </c>
    </row>
    <row r="6" spans="1:10" ht="92.25" customHeight="1" x14ac:dyDescent="0.25">
      <c r="A6" s="65" t="s">
        <v>3</v>
      </c>
      <c r="B6" s="14" t="s">
        <v>164</v>
      </c>
      <c r="C6" s="520"/>
      <c r="D6" s="517"/>
      <c r="E6" s="56" t="e">
        <f>E5-E7</f>
        <v>#REF!</v>
      </c>
      <c r="F6" s="56">
        <f t="shared" ref="F6:G6" si="1">F5-F7</f>
        <v>217.49514873999999</v>
      </c>
      <c r="G6" s="56">
        <f t="shared" si="1"/>
        <v>217.49514873999999</v>
      </c>
      <c r="H6" s="56" t="e">
        <f t="shared" si="0"/>
        <v>#REF!</v>
      </c>
      <c r="I6" s="65" t="s">
        <v>124</v>
      </c>
    </row>
    <row r="7" spans="1:10" ht="92.25" customHeight="1" x14ac:dyDescent="0.25">
      <c r="A7" s="65" t="s">
        <v>59</v>
      </c>
      <c r="B7" s="14" t="s">
        <v>165</v>
      </c>
      <c r="C7" s="521"/>
      <c r="D7" s="513"/>
      <c r="E7" s="56">
        <f>(1688073.36+9999999.9)/1000000</f>
        <v>11.688073259999999</v>
      </c>
      <c r="F7" s="56">
        <f t="shared" ref="F7:G7" si="2">(1688073.36+9999999.9)/1000000</f>
        <v>11.688073259999999</v>
      </c>
      <c r="G7" s="56">
        <f t="shared" si="2"/>
        <v>11.688073259999999</v>
      </c>
      <c r="H7" s="56">
        <f t="shared" si="0"/>
        <v>35.064219780000002</v>
      </c>
      <c r="I7" s="65" t="s">
        <v>124</v>
      </c>
    </row>
    <row r="8" spans="1:10" ht="87" customHeight="1" x14ac:dyDescent="0.25">
      <c r="A8" s="507">
        <v>2</v>
      </c>
      <c r="B8" s="518" t="s">
        <v>72</v>
      </c>
      <c r="C8" s="15" t="s">
        <v>125</v>
      </c>
      <c r="D8" s="507" t="s">
        <v>123</v>
      </c>
      <c r="E8" s="56">
        <f>SUM(E9:E12)</f>
        <v>23.853501561414642</v>
      </c>
      <c r="F8" s="56">
        <f t="shared" ref="F8:G8" si="3">SUM(F9:F12)</f>
        <v>23.853501561414642</v>
      </c>
      <c r="G8" s="56">
        <f t="shared" si="3"/>
        <v>23.853501561414642</v>
      </c>
      <c r="H8" s="56">
        <f t="shared" si="0"/>
        <v>71.560504684243924</v>
      </c>
      <c r="I8" s="512" t="s">
        <v>124</v>
      </c>
    </row>
    <row r="9" spans="1:10" x14ac:dyDescent="0.25">
      <c r="A9" s="507"/>
      <c r="B9" s="518"/>
      <c r="C9" s="16" t="s">
        <v>127</v>
      </c>
      <c r="D9" s="507"/>
      <c r="E9" s="57">
        <f>J9/1000000</f>
        <v>18.31394842027715</v>
      </c>
      <c r="F9" s="57">
        <f>E9</f>
        <v>18.31394842027715</v>
      </c>
      <c r="G9" s="57">
        <f>F9</f>
        <v>18.31394842027715</v>
      </c>
      <c r="H9" s="57">
        <f t="shared" si="0"/>
        <v>54.94184526083145</v>
      </c>
      <c r="I9" s="517"/>
      <c r="J9" s="90">
        <v>18313948.420277148</v>
      </c>
    </row>
    <row r="10" spans="1:10" x14ac:dyDescent="0.25">
      <c r="A10" s="507"/>
      <c r="B10" s="518"/>
      <c r="C10" s="16" t="s">
        <v>128</v>
      </c>
      <c r="D10" s="507"/>
      <c r="E10" s="57">
        <f t="shared" ref="E10:E12" si="4">J10/1000000</f>
        <v>3.2322237667255029</v>
      </c>
      <c r="F10" s="57">
        <f t="shared" ref="F10:G12" si="5">E10</f>
        <v>3.2322237667255029</v>
      </c>
      <c r="G10" s="57">
        <f t="shared" si="5"/>
        <v>3.2322237667255029</v>
      </c>
      <c r="H10" s="57">
        <f t="shared" si="0"/>
        <v>9.6966713001765079</v>
      </c>
      <c r="I10" s="517"/>
      <c r="J10" s="90">
        <v>3232223.7667255029</v>
      </c>
    </row>
    <row r="11" spans="1:10" x14ac:dyDescent="0.25">
      <c r="A11" s="507"/>
      <c r="B11" s="518"/>
      <c r="C11" s="16" t="s">
        <v>129</v>
      </c>
      <c r="D11" s="507"/>
      <c r="E11" s="57">
        <f t="shared" si="4"/>
        <v>1.7207185929828479</v>
      </c>
      <c r="F11" s="57">
        <f t="shared" si="5"/>
        <v>1.7207185929828479</v>
      </c>
      <c r="G11" s="57">
        <f t="shared" si="5"/>
        <v>1.7207185929828479</v>
      </c>
      <c r="H11" s="57">
        <f t="shared" si="0"/>
        <v>5.1621557789485433</v>
      </c>
      <c r="I11" s="517"/>
      <c r="J11" s="90">
        <v>1720718.5929828479</v>
      </c>
    </row>
    <row r="12" spans="1:10" x14ac:dyDescent="0.25">
      <c r="A12" s="507"/>
      <c r="B12" s="518"/>
      <c r="C12" s="16" t="s">
        <v>126</v>
      </c>
      <c r="D12" s="507"/>
      <c r="E12" s="57">
        <f t="shared" si="4"/>
        <v>0.58661078142913992</v>
      </c>
      <c r="F12" s="57">
        <f t="shared" si="5"/>
        <v>0.58661078142913992</v>
      </c>
      <c r="G12" s="57">
        <f t="shared" si="5"/>
        <v>0.58661078142913992</v>
      </c>
      <c r="H12" s="57">
        <f t="shared" si="0"/>
        <v>1.7598323442874197</v>
      </c>
      <c r="I12" s="513"/>
      <c r="J12" s="90">
        <v>586610.7814291399</v>
      </c>
    </row>
    <row r="13" spans="1:10" ht="76.5" hidden="1" x14ac:dyDescent="0.25">
      <c r="A13" s="35">
        <v>3</v>
      </c>
      <c r="B13" s="36" t="e">
        <f>'+ пр к ПП2'!#REF!</f>
        <v>#REF!</v>
      </c>
      <c r="C13" s="14" t="s">
        <v>122</v>
      </c>
      <c r="D13" s="35" t="s">
        <v>144</v>
      </c>
      <c r="E13" s="57" t="e">
        <f>'+ пр к ПП2'!#REF!/1000</f>
        <v>#REF!</v>
      </c>
      <c r="F13" s="57" t="e">
        <f>'+ пр к ПП2'!#REF!/1000</f>
        <v>#REF!</v>
      </c>
      <c r="G13" s="57" t="e">
        <f>'+ пр к ПП2'!#REF!/1000</f>
        <v>#REF!</v>
      </c>
      <c r="H13" s="57" t="e">
        <f t="shared" ref="H13:H14" si="6">SUM(E13:G13)</f>
        <v>#REF!</v>
      </c>
      <c r="I13" s="35" t="s">
        <v>124</v>
      </c>
    </row>
    <row r="14" spans="1:10" ht="65.25" hidden="1" customHeight="1" outlineLevel="1" x14ac:dyDescent="0.25">
      <c r="A14" s="35">
        <v>3</v>
      </c>
      <c r="B14" s="36" t="e">
        <f>'+ пр к ПП2'!#REF!</f>
        <v>#REF!</v>
      </c>
      <c r="C14" s="20" t="s">
        <v>132</v>
      </c>
      <c r="D14" s="35" t="s">
        <v>123</v>
      </c>
      <c r="E14" s="57" t="e">
        <f>'+ пр к ПП2'!#REF!/1000</f>
        <v>#REF!</v>
      </c>
      <c r="F14" s="57" t="e">
        <f>'+ пр к ПП2'!#REF!/1000</f>
        <v>#REF!</v>
      </c>
      <c r="G14" s="57" t="e">
        <f>'+ пр к ПП2'!#REF!/1000</f>
        <v>#REF!</v>
      </c>
      <c r="H14" s="57" t="e">
        <f t="shared" si="6"/>
        <v>#REF!</v>
      </c>
      <c r="I14" s="35" t="s">
        <v>124</v>
      </c>
    </row>
    <row r="15" spans="1:10" ht="63.75" hidden="1" outlineLevel="1" x14ac:dyDescent="0.25">
      <c r="A15" s="82">
        <v>4</v>
      </c>
      <c r="B15" s="83" t="e">
        <f>'+ пр к ПП2'!#REF!</f>
        <v>#REF!</v>
      </c>
      <c r="C15" s="20" t="s">
        <v>172</v>
      </c>
      <c r="D15" s="82" t="s">
        <v>123</v>
      </c>
      <c r="E15" s="57" t="e">
        <f>'+ пр к ПП2'!#REF!/1000</f>
        <v>#REF!</v>
      </c>
      <c r="F15" s="57" t="e">
        <f>'+ пр к ПП2'!#REF!/1000</f>
        <v>#REF!</v>
      </c>
      <c r="G15" s="57" t="e">
        <f>'+ пр к ПП2'!#REF!/1000</f>
        <v>#REF!</v>
      </c>
      <c r="H15" s="57" t="e">
        <f>'+ пр к ПП2'!#REF!/1000</f>
        <v>#REF!</v>
      </c>
      <c r="I15" s="82" t="s">
        <v>124</v>
      </c>
    </row>
    <row r="16" spans="1:10" s="19" customFormat="1" collapsed="1" x14ac:dyDescent="0.25">
      <c r="A16" s="17"/>
      <c r="B16" s="43" t="s">
        <v>146</v>
      </c>
      <c r="C16" s="18" t="s">
        <v>25</v>
      </c>
      <c r="D16" s="18" t="s">
        <v>25</v>
      </c>
      <c r="E16" s="58" t="e">
        <f>E5+E8+E15</f>
        <v>#REF!</v>
      </c>
      <c r="F16" s="58" t="e">
        <f t="shared" ref="F16:H16" si="7">F5+F8+F15</f>
        <v>#REF!</v>
      </c>
      <c r="G16" s="58" t="e">
        <f t="shared" si="7"/>
        <v>#REF!</v>
      </c>
      <c r="H16" s="58" t="e">
        <f t="shared" si="7"/>
        <v>#REF!</v>
      </c>
      <c r="I16" s="18" t="s">
        <v>25</v>
      </c>
    </row>
    <row r="19" spans="3:8" x14ac:dyDescent="0.25">
      <c r="C19" s="16"/>
      <c r="E19" s="89" t="e">
        <f>E16*1000-'+ пр к ПП2'!#REF!</f>
        <v>#REF!</v>
      </c>
      <c r="F19" s="89" t="e">
        <f>F16*1000-'+ пр к ПП2'!I44</f>
        <v>#REF!</v>
      </c>
      <c r="G19" s="89" t="e">
        <f>G16*1000-'+ пр к ПП2'!J44</f>
        <v>#REF!</v>
      </c>
      <c r="H19" s="89" t="e">
        <f>H16*1000-'+ пр к ПП2'!L44</f>
        <v>#REF!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38" customWidth="1"/>
    <col min="2" max="2" width="20.375" customWidth="1"/>
    <col min="3" max="3" width="28" customWidth="1"/>
    <col min="4" max="4" width="10" customWidth="1"/>
    <col min="9" max="9" width="9" style="22"/>
  </cols>
  <sheetData>
    <row r="1" spans="1:9" x14ac:dyDescent="0.25">
      <c r="A1" s="526" t="s">
        <v>14</v>
      </c>
      <c r="B1" s="526" t="s">
        <v>114</v>
      </c>
      <c r="C1" s="526" t="s">
        <v>115</v>
      </c>
      <c r="D1" s="526" t="s">
        <v>116</v>
      </c>
      <c r="E1" s="526" t="s">
        <v>117</v>
      </c>
      <c r="F1" s="526"/>
      <c r="G1" s="526"/>
      <c r="H1" s="526"/>
      <c r="I1" s="526"/>
    </row>
    <row r="2" spans="1:9" x14ac:dyDescent="0.25">
      <c r="A2" s="526"/>
      <c r="B2" s="526"/>
      <c r="C2" s="526"/>
      <c r="D2" s="526"/>
      <c r="E2" s="526" t="s">
        <v>145</v>
      </c>
      <c r="F2" s="526"/>
      <c r="G2" s="526"/>
      <c r="H2" s="526"/>
      <c r="I2" s="526" t="s">
        <v>119</v>
      </c>
    </row>
    <row r="3" spans="1:9" x14ac:dyDescent="0.25">
      <c r="A3" s="526"/>
      <c r="B3" s="526"/>
      <c r="C3" s="526"/>
      <c r="D3" s="526"/>
      <c r="E3" s="526" t="s">
        <v>120</v>
      </c>
      <c r="F3" s="526"/>
      <c r="G3" s="526"/>
      <c r="H3" s="526" t="s">
        <v>121</v>
      </c>
      <c r="I3" s="526"/>
    </row>
    <row r="4" spans="1:9" x14ac:dyDescent="0.25">
      <c r="A4" s="526"/>
      <c r="B4" s="526"/>
      <c r="C4" s="526"/>
      <c r="D4" s="526"/>
      <c r="E4" s="65" t="e">
        <f>пп1!F4</f>
        <v>#REF!</v>
      </c>
      <c r="F4" s="93" t="str">
        <f>пп1!G4</f>
        <v>2026</v>
      </c>
      <c r="G4" s="93" t="str">
        <f>пп1!H4</f>
        <v>2027</v>
      </c>
      <c r="H4" s="526"/>
      <c r="I4" s="526"/>
    </row>
    <row r="5" spans="1:9" ht="72.75" hidden="1" customHeight="1" outlineLevel="1" x14ac:dyDescent="0.25">
      <c r="A5" s="69">
        <v>1</v>
      </c>
      <c r="B5" s="50" t="str">
        <f>'+пр к ПП3'!B16</f>
        <v>Проведение мероприятий, направленных на обеспечение безопасного участия детей в дорожном движении</v>
      </c>
      <c r="C5" s="525" t="s">
        <v>148</v>
      </c>
      <c r="D5" s="526" t="s">
        <v>147</v>
      </c>
      <c r="E5" s="39" t="e">
        <f>E6+E7</f>
        <v>#REF!</v>
      </c>
      <c r="F5" s="39">
        <f t="shared" ref="F5:G5" si="0">F6+F7</f>
        <v>0</v>
      </c>
      <c r="G5" s="39">
        <f t="shared" si="0"/>
        <v>0</v>
      </c>
      <c r="H5" s="39" t="e">
        <f>SUM(E5:G5)</f>
        <v>#REF!</v>
      </c>
      <c r="I5" s="69"/>
    </row>
    <row r="6" spans="1:9" ht="101.25" hidden="1" customHeight="1" outlineLevel="1" x14ac:dyDescent="0.25">
      <c r="A6" s="69" t="s">
        <v>3</v>
      </c>
      <c r="B6" s="50" t="s">
        <v>156</v>
      </c>
      <c r="C6" s="525"/>
      <c r="D6" s="526"/>
      <c r="E6" s="39" t="e">
        <f>'+пр к ПП3'!#REF!</f>
        <v>#REF!</v>
      </c>
      <c r="F6" s="39">
        <f>'+пр к ПП3'!I16</f>
        <v>0</v>
      </c>
      <c r="G6" s="39">
        <f>'+пр к ПП3'!J16</f>
        <v>0</v>
      </c>
      <c r="H6" s="39" t="e">
        <f t="shared" ref="H6:H10" si="1">SUM(E6:G6)</f>
        <v>#REF!</v>
      </c>
      <c r="I6" s="69" t="s">
        <v>131</v>
      </c>
    </row>
    <row r="7" spans="1:9" ht="93.75" hidden="1" customHeight="1" outlineLevel="1" x14ac:dyDescent="0.25">
      <c r="A7" s="69" t="s">
        <v>59</v>
      </c>
      <c r="B7" s="50" t="s">
        <v>157</v>
      </c>
      <c r="C7" s="525"/>
      <c r="D7" s="526"/>
      <c r="E7" s="39" t="e">
        <f>'+пр к ПП3'!#REF!</f>
        <v>#REF!</v>
      </c>
      <c r="F7" s="39">
        <f>'+пр к ПП3'!I17</f>
        <v>0</v>
      </c>
      <c r="G7" s="39">
        <f>'+пр к ПП3'!J17</f>
        <v>0</v>
      </c>
      <c r="H7" s="39" t="e">
        <f t="shared" si="1"/>
        <v>#REF!</v>
      </c>
      <c r="I7" s="69" t="s">
        <v>124</v>
      </c>
    </row>
    <row r="8" spans="1:9" ht="38.25" customHeight="1" collapsed="1" x14ac:dyDescent="0.25">
      <c r="A8" s="522">
        <v>1</v>
      </c>
      <c r="B8" s="522" t="str">
        <f>'+пр к ПП3'!B19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0" t="s">
        <v>130</v>
      </c>
      <c r="D8" s="522" t="s">
        <v>41</v>
      </c>
      <c r="E8" s="41">
        <f>E9+E10</f>
        <v>220.5</v>
      </c>
      <c r="F8" s="41">
        <f>'+пр к ПП3'!I19</f>
        <v>0</v>
      </c>
      <c r="G8" s="41">
        <f>'+пр к ПП3'!J19</f>
        <v>0</v>
      </c>
      <c r="H8" s="39">
        <f t="shared" si="1"/>
        <v>220.5</v>
      </c>
      <c r="I8" s="522" t="s">
        <v>131</v>
      </c>
    </row>
    <row r="9" spans="1:9" ht="30.75" customHeight="1" x14ac:dyDescent="0.25">
      <c r="A9" s="523"/>
      <c r="B9" s="523"/>
      <c r="C9" s="95" t="s">
        <v>128</v>
      </c>
      <c r="D9" s="523"/>
      <c r="E9" s="41">
        <v>88.2</v>
      </c>
      <c r="F9" s="41"/>
      <c r="G9" s="41"/>
      <c r="H9" s="39">
        <f t="shared" si="1"/>
        <v>88.2</v>
      </c>
      <c r="I9" s="523"/>
    </row>
    <row r="10" spans="1:9" ht="25.5" x14ac:dyDescent="0.25">
      <c r="A10" s="524"/>
      <c r="B10" s="524"/>
      <c r="C10" s="95" t="s">
        <v>127</v>
      </c>
      <c r="D10" s="524"/>
      <c r="E10" s="41">
        <v>132.30000000000001</v>
      </c>
      <c r="F10" s="41"/>
      <c r="G10" s="41"/>
      <c r="H10" s="39">
        <f t="shared" si="1"/>
        <v>132.30000000000001</v>
      </c>
      <c r="I10" s="524"/>
    </row>
    <row r="11" spans="1:9" ht="76.5" x14ac:dyDescent="0.25">
      <c r="A11" s="70">
        <v>2</v>
      </c>
      <c r="B11" s="55" t="str">
        <f>'+пр к ПП3'!B21</f>
        <v>Расходы на проведение мероприятий по формированию законопослушного поведения участников дорожного движения</v>
      </c>
      <c r="C11" s="71" t="s">
        <v>168</v>
      </c>
      <c r="D11" s="70" t="s">
        <v>170</v>
      </c>
      <c r="E11" s="41">
        <v>0</v>
      </c>
      <c r="F11" s="41">
        <v>0</v>
      </c>
      <c r="G11" s="41">
        <v>0</v>
      </c>
      <c r="H11" s="39">
        <v>0</v>
      </c>
      <c r="I11" s="70" t="s">
        <v>171</v>
      </c>
    </row>
    <row r="12" spans="1:9" s="19" customFormat="1" x14ac:dyDescent="0.25">
      <c r="A12" s="42"/>
      <c r="B12" s="43" t="s">
        <v>146</v>
      </c>
      <c r="C12" s="42" t="s">
        <v>25</v>
      </c>
      <c r="D12" s="42" t="s">
        <v>25</v>
      </c>
      <c r="E12" s="44" t="e">
        <f>E5+E8</f>
        <v>#REF!</v>
      </c>
      <c r="F12" s="44">
        <f t="shared" ref="F12:H12" si="2">F5+F8</f>
        <v>0</v>
      </c>
      <c r="G12" s="44">
        <f t="shared" si="2"/>
        <v>0</v>
      </c>
      <c r="H12" s="44" t="e">
        <f t="shared" si="2"/>
        <v>#REF!</v>
      </c>
      <c r="I12" s="42" t="s">
        <v>25</v>
      </c>
    </row>
    <row r="14" spans="1:9" x14ac:dyDescent="0.25">
      <c r="E14" s="81" t="e">
        <f>'+пр к ПП3'!#REF!</f>
        <v>#REF!</v>
      </c>
      <c r="F14" s="59">
        <f>'+пр к ПП3'!I27</f>
        <v>0</v>
      </c>
      <c r="G14" s="59">
        <f>'+пр к ПП3'!J27</f>
        <v>0</v>
      </c>
      <c r="H14" t="e">
        <f t="shared" ref="H14" si="3">SUM(E14:G14)</f>
        <v>#REF!</v>
      </c>
    </row>
    <row r="15" spans="1:9" x14ac:dyDescent="0.25">
      <c r="E15" t="e">
        <f>E14=E8</f>
        <v>#REF!</v>
      </c>
      <c r="F15" t="b">
        <f t="shared" ref="F15:G15" si="4">F14=F8</f>
        <v>1</v>
      </c>
      <c r="G15" t="b">
        <f t="shared" si="4"/>
        <v>1</v>
      </c>
      <c r="H15" t="e">
        <f>H14=H8</f>
        <v>#REF!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526" t="s">
        <v>14</v>
      </c>
      <c r="B1" s="526" t="s">
        <v>114</v>
      </c>
      <c r="C1" s="526" t="s">
        <v>115</v>
      </c>
      <c r="D1" s="526" t="s">
        <v>116</v>
      </c>
      <c r="E1" s="526" t="s">
        <v>117</v>
      </c>
      <c r="F1" s="526"/>
      <c r="G1" s="526"/>
      <c r="H1" s="526"/>
      <c r="I1" s="526"/>
    </row>
    <row r="2" spans="1:9" x14ac:dyDescent="0.25">
      <c r="A2" s="526"/>
      <c r="B2" s="526"/>
      <c r="C2" s="526"/>
      <c r="D2" s="526"/>
      <c r="E2" s="526" t="s">
        <v>145</v>
      </c>
      <c r="F2" s="526"/>
      <c r="G2" s="526"/>
      <c r="H2" s="526"/>
      <c r="I2" s="526" t="s">
        <v>119</v>
      </c>
    </row>
    <row r="3" spans="1:9" x14ac:dyDescent="0.25">
      <c r="A3" s="526"/>
      <c r="B3" s="526"/>
      <c r="C3" s="526"/>
      <c r="D3" s="526"/>
      <c r="E3" s="526" t="s">
        <v>120</v>
      </c>
      <c r="F3" s="526"/>
      <c r="G3" s="526"/>
      <c r="H3" s="526" t="s">
        <v>121</v>
      </c>
      <c r="I3" s="526"/>
    </row>
    <row r="4" spans="1:9" x14ac:dyDescent="0.25">
      <c r="A4" s="526"/>
      <c r="B4" s="526"/>
      <c r="C4" s="526"/>
      <c r="D4" s="526"/>
      <c r="E4" s="65">
        <v>2018</v>
      </c>
      <c r="F4" s="65">
        <v>2019</v>
      </c>
      <c r="G4" s="65">
        <v>2020</v>
      </c>
      <c r="H4" s="526"/>
      <c r="I4" s="526"/>
    </row>
    <row r="5" spans="1:9" ht="178.5" customHeight="1" x14ac:dyDescent="0.25">
      <c r="A5" s="69">
        <v>1</v>
      </c>
      <c r="B5" s="74" t="s">
        <v>158</v>
      </c>
      <c r="C5" s="50" t="s">
        <v>148</v>
      </c>
      <c r="D5" s="69" t="s">
        <v>123</v>
      </c>
      <c r="E5" s="40" t="e">
        <f>'+пр к ПП4'!#REF!/1000</f>
        <v>#REF!</v>
      </c>
      <c r="F5" s="40">
        <f>'+пр к ПП4'!I16/1000</f>
        <v>15.6</v>
      </c>
      <c r="G5" s="40">
        <f>'+пр к ПП4'!J16/1000</f>
        <v>15.6</v>
      </c>
      <c r="H5" s="39" t="e">
        <f t="shared" ref="H5" si="0">SUM(E5:G5)</f>
        <v>#REF!</v>
      </c>
      <c r="I5" s="69" t="s">
        <v>124</v>
      </c>
    </row>
    <row r="6" spans="1:9" ht="106.5" customHeight="1" x14ac:dyDescent="0.25">
      <c r="A6" s="527">
        <v>2</v>
      </c>
      <c r="B6" s="76" t="e">
        <f>'+пр к ПП4'!#REF!</f>
        <v>#REF!</v>
      </c>
      <c r="C6" s="528" t="s">
        <v>132</v>
      </c>
      <c r="D6" s="507" t="s">
        <v>123</v>
      </c>
      <c r="E6" s="73" t="e">
        <f>E7+E8</f>
        <v>#REF!</v>
      </c>
      <c r="F6" s="79">
        <f t="shared" ref="F6:H6" si="1">F7+F8</f>
        <v>0</v>
      </c>
      <c r="G6" s="79">
        <f t="shared" si="1"/>
        <v>0</v>
      </c>
      <c r="H6" s="73" t="e">
        <f t="shared" si="1"/>
        <v>#REF!</v>
      </c>
      <c r="I6" s="72"/>
    </row>
    <row r="7" spans="1:9" ht="25.5" x14ac:dyDescent="0.25">
      <c r="A7" s="527"/>
      <c r="B7" s="77" t="s">
        <v>166</v>
      </c>
      <c r="C7" s="528"/>
      <c r="D7" s="507"/>
      <c r="E7" s="65" t="e">
        <f>'+пр к ПП4'!#REF!/1000</f>
        <v>#REF!</v>
      </c>
      <c r="F7" s="79">
        <v>0</v>
      </c>
      <c r="G7" s="79">
        <v>0</v>
      </c>
      <c r="H7" s="65" t="e">
        <f>'+пр к ПП4'!#REF!/1000</f>
        <v>#REF!</v>
      </c>
      <c r="I7" s="65" t="s">
        <v>131</v>
      </c>
    </row>
    <row r="8" spans="1:9" ht="25.5" x14ac:dyDescent="0.25">
      <c r="A8" s="527"/>
      <c r="B8" s="78"/>
      <c r="C8" s="528"/>
      <c r="D8" s="507"/>
      <c r="E8" s="73" t="e">
        <f>'+пр к ПП4'!#REF!/1000</f>
        <v>#REF!</v>
      </c>
      <c r="F8" s="79">
        <v>0</v>
      </c>
      <c r="G8" s="79">
        <v>0</v>
      </c>
      <c r="H8" s="73" t="e">
        <f>'+пр к ПП4'!#REF!/1000</f>
        <v>#REF!</v>
      </c>
      <c r="I8" s="65" t="s">
        <v>124</v>
      </c>
    </row>
    <row r="9" spans="1:9" ht="25.5" x14ac:dyDescent="0.25">
      <c r="A9" s="42"/>
      <c r="B9" s="75" t="s">
        <v>146</v>
      </c>
      <c r="C9" s="42" t="s">
        <v>25</v>
      </c>
      <c r="D9" s="42" t="s">
        <v>25</v>
      </c>
      <c r="E9" s="44" t="e">
        <f>E5+E6</f>
        <v>#REF!</v>
      </c>
      <c r="F9" s="44">
        <f t="shared" ref="F9:H9" si="2">F5+F6</f>
        <v>15.6</v>
      </c>
      <c r="G9" s="44">
        <f t="shared" si="2"/>
        <v>15.6</v>
      </c>
      <c r="H9" s="44" t="e">
        <f t="shared" si="2"/>
        <v>#REF!</v>
      </c>
      <c r="I9" s="42" t="s">
        <v>25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20"/>
  <sheetViews>
    <sheetView view="pageBreakPreview" zoomScale="85" zoomScaleNormal="70" zoomScaleSheetLayoutView="85" workbookViewId="0">
      <selection activeCell="A12" sqref="A12:G12"/>
    </sheetView>
  </sheetViews>
  <sheetFormatPr defaultColWidth="9" defaultRowHeight="15.75" x14ac:dyDescent="0.25"/>
  <cols>
    <col min="1" max="1" width="4.75" style="214" customWidth="1"/>
    <col min="2" max="2" width="64.625" style="117" customWidth="1"/>
    <col min="3" max="3" width="10.5" style="214" customWidth="1"/>
    <col min="4" max="4" width="18" style="117" customWidth="1"/>
    <col min="5" max="5" width="13" style="117" customWidth="1"/>
    <col min="6" max="6" width="12" style="117" customWidth="1"/>
    <col min="7" max="7" width="14" style="117" customWidth="1"/>
    <col min="8" max="8" width="19.875" style="117" customWidth="1"/>
    <col min="9" max="16384" width="9" style="117"/>
  </cols>
  <sheetData>
    <row r="1" spans="1:8" ht="18.75" x14ac:dyDescent="0.3">
      <c r="A1" s="258"/>
      <c r="C1" s="258"/>
      <c r="D1" s="4" t="s">
        <v>5</v>
      </c>
    </row>
    <row r="2" spans="1:8" ht="76.5" customHeight="1" x14ac:dyDescent="0.25">
      <c r="A2" s="2"/>
      <c r="B2" s="1"/>
      <c r="C2" s="2"/>
      <c r="D2" s="393" t="s">
        <v>280</v>
      </c>
      <c r="E2" s="393"/>
      <c r="F2" s="393"/>
      <c r="G2" s="393"/>
    </row>
    <row r="3" spans="1:8" ht="18.75" x14ac:dyDescent="0.25">
      <c r="A3" s="217"/>
      <c r="B3" s="1"/>
      <c r="C3" s="2"/>
      <c r="D3" s="1"/>
      <c r="E3" s="1"/>
      <c r="F3" s="1"/>
      <c r="G3" s="1"/>
    </row>
    <row r="4" spans="1:8" ht="18.75" x14ac:dyDescent="0.25">
      <c r="A4" s="217"/>
      <c r="B4" s="1"/>
      <c r="C4" s="2"/>
      <c r="D4" s="1"/>
      <c r="E4" s="1"/>
      <c r="F4" s="1"/>
      <c r="G4" s="1"/>
    </row>
    <row r="5" spans="1:8" ht="18.75" x14ac:dyDescent="0.25">
      <c r="A5" s="383" t="s">
        <v>1</v>
      </c>
      <c r="B5" s="383"/>
      <c r="C5" s="383"/>
      <c r="D5" s="383"/>
      <c r="E5" s="383"/>
      <c r="F5" s="383"/>
      <c r="G5" s="383"/>
    </row>
    <row r="6" spans="1:8" ht="18.75" customHeight="1" x14ac:dyDescent="0.25">
      <c r="A6" s="400" t="s">
        <v>68</v>
      </c>
      <c r="B6" s="400"/>
      <c r="C6" s="400"/>
      <c r="D6" s="400"/>
      <c r="E6" s="400"/>
      <c r="F6" s="400"/>
      <c r="G6" s="400"/>
    </row>
    <row r="7" spans="1:8" ht="36" customHeight="1" x14ac:dyDescent="0.25">
      <c r="A7" s="400" t="s">
        <v>282</v>
      </c>
      <c r="B7" s="400"/>
      <c r="C7" s="400"/>
      <c r="D7" s="400"/>
      <c r="E7" s="400"/>
      <c r="F7" s="400"/>
      <c r="G7" s="400"/>
    </row>
    <row r="8" spans="1:8" ht="13.5" customHeight="1" x14ac:dyDescent="0.25">
      <c r="A8" s="217"/>
      <c r="B8" s="1"/>
      <c r="C8" s="2"/>
      <c r="D8" s="1"/>
      <c r="E8" s="1"/>
      <c r="F8" s="1"/>
      <c r="G8" s="1"/>
    </row>
    <row r="9" spans="1:8" ht="15.75" customHeight="1" x14ac:dyDescent="0.25">
      <c r="A9" s="384" t="s">
        <v>14</v>
      </c>
      <c r="B9" s="384" t="s">
        <v>34</v>
      </c>
      <c r="C9" s="384" t="s">
        <v>2</v>
      </c>
      <c r="D9" s="384" t="s">
        <v>35</v>
      </c>
      <c r="E9" s="384" t="s">
        <v>36</v>
      </c>
      <c r="F9" s="384"/>
      <c r="G9" s="384"/>
    </row>
    <row r="10" spans="1:8" x14ac:dyDescent="0.25">
      <c r="A10" s="384"/>
      <c r="B10" s="384"/>
      <c r="C10" s="384"/>
      <c r="D10" s="384"/>
      <c r="E10" s="162">
        <v>2026</v>
      </c>
      <c r="F10" s="162">
        <v>2027</v>
      </c>
      <c r="G10" s="162">
        <v>2028</v>
      </c>
    </row>
    <row r="11" spans="1:8" x14ac:dyDescent="0.25">
      <c r="A11" s="216">
        <v>1</v>
      </c>
      <c r="B11" s="216">
        <v>2</v>
      </c>
      <c r="C11" s="216">
        <v>3</v>
      </c>
      <c r="D11" s="216">
        <v>4</v>
      </c>
      <c r="E11" s="216">
        <v>5</v>
      </c>
      <c r="F11" s="216">
        <v>6</v>
      </c>
      <c r="G11" s="216">
        <v>7</v>
      </c>
    </row>
    <row r="12" spans="1:8" ht="34.5" customHeight="1" x14ac:dyDescent="0.25">
      <c r="A12" s="395" t="s">
        <v>281</v>
      </c>
      <c r="B12" s="396"/>
      <c r="C12" s="396"/>
      <c r="D12" s="396"/>
      <c r="E12" s="396"/>
      <c r="F12" s="396"/>
      <c r="G12" s="397"/>
    </row>
    <row r="13" spans="1:8" ht="36" customHeight="1" x14ac:dyDescent="0.25">
      <c r="A13" s="399" t="str">
        <f>'пр к ПП1'!A14:M14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3" s="399"/>
      <c r="C13" s="399"/>
      <c r="D13" s="399"/>
      <c r="E13" s="399"/>
      <c r="F13" s="399"/>
      <c r="G13" s="399"/>
    </row>
    <row r="14" spans="1:8" ht="27" customHeight="1" x14ac:dyDescent="0.25">
      <c r="A14" s="399" t="str">
        <f>'пр к ПП1'!A15:M15</f>
        <v>Задача 1. Улучшение технического состояния существующей улично-дорожной сети и автомобильных дорог местного значения.</v>
      </c>
      <c r="B14" s="399"/>
      <c r="C14" s="399"/>
      <c r="D14" s="399"/>
      <c r="E14" s="399"/>
      <c r="F14" s="399"/>
      <c r="G14" s="399"/>
    </row>
    <row r="15" spans="1:8" ht="31.5" x14ac:dyDescent="0.25">
      <c r="A15" s="219" t="s">
        <v>3</v>
      </c>
      <c r="B15" s="218" t="s">
        <v>46</v>
      </c>
      <c r="C15" s="219" t="s">
        <v>47</v>
      </c>
      <c r="D15" s="219" t="s">
        <v>48</v>
      </c>
      <c r="E15" s="334">
        <v>4.5</v>
      </c>
      <c r="F15" s="334">
        <v>5</v>
      </c>
      <c r="G15" s="334">
        <v>5</v>
      </c>
      <c r="H15" s="398"/>
    </row>
    <row r="16" spans="1:8" ht="41.25" customHeight="1" x14ac:dyDescent="0.25">
      <c r="A16" s="219" t="s">
        <v>59</v>
      </c>
      <c r="B16" s="218" t="s">
        <v>49</v>
      </c>
      <c r="C16" s="219" t="s">
        <v>47</v>
      </c>
      <c r="D16" s="219" t="s">
        <v>50</v>
      </c>
      <c r="E16" s="333">
        <v>288.5</v>
      </c>
      <c r="F16" s="333">
        <v>288.5</v>
      </c>
      <c r="G16" s="333">
        <f>F16</f>
        <v>288.5</v>
      </c>
      <c r="H16" s="398"/>
    </row>
    <row r="17" spans="1:7" ht="31.5" x14ac:dyDescent="0.25">
      <c r="A17" s="219" t="s">
        <v>61</v>
      </c>
      <c r="B17" s="218" t="s">
        <v>53</v>
      </c>
      <c r="C17" s="219" t="s">
        <v>51</v>
      </c>
      <c r="D17" s="219" t="s">
        <v>52</v>
      </c>
      <c r="E17" s="169">
        <v>1</v>
      </c>
      <c r="F17" s="169">
        <f t="shared" ref="F17:G17" si="0">E17</f>
        <v>1</v>
      </c>
      <c r="G17" s="169">
        <f t="shared" si="0"/>
        <v>1</v>
      </c>
    </row>
    <row r="18" spans="1:7" ht="18.75" x14ac:dyDescent="0.25">
      <c r="A18" s="118"/>
    </row>
    <row r="19" spans="1:7" ht="18.75" x14ac:dyDescent="0.25">
      <c r="A19" s="118"/>
    </row>
    <row r="20" spans="1:7" ht="18.75" x14ac:dyDescent="0.25">
      <c r="A20" s="118"/>
    </row>
  </sheetData>
  <mergeCells count="13">
    <mergeCell ref="D2:G2"/>
    <mergeCell ref="A12:G12"/>
    <mergeCell ref="A5:G5"/>
    <mergeCell ref="H15:H16"/>
    <mergeCell ref="A9:A10"/>
    <mergeCell ref="B9:B10"/>
    <mergeCell ref="C9:C10"/>
    <mergeCell ref="D9:D10"/>
    <mergeCell ref="E9:G9"/>
    <mergeCell ref="A13:G13"/>
    <mergeCell ref="A14:G14"/>
    <mergeCell ref="A7:G7"/>
    <mergeCell ref="A6:G6"/>
  </mergeCells>
  <pageMargins left="0.78740157480314965" right="0.78740157480314965" top="1.1811023622047245" bottom="0.39370078740157483" header="0.31496062992125984" footer="0.31496062992125984"/>
  <pageSetup paperSize="9" scale="88" firstPageNumber="33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57"/>
  <sheetViews>
    <sheetView view="pageBreakPreview" topLeftCell="A27" zoomScale="70" zoomScaleNormal="55" zoomScaleSheetLayoutView="70" workbookViewId="0">
      <selection activeCell="K34" sqref="K34"/>
    </sheetView>
  </sheetViews>
  <sheetFormatPr defaultColWidth="9" defaultRowHeight="18.75" outlineLevelRow="1" outlineLevelCol="1" x14ac:dyDescent="0.25"/>
  <cols>
    <col min="1" max="1" width="4.75" style="126" customWidth="1"/>
    <col min="2" max="2" width="49.625" style="127" customWidth="1"/>
    <col min="3" max="3" width="37.375" style="127" customWidth="1"/>
    <col min="4" max="5" width="7.375" style="127" customWidth="1"/>
    <col min="6" max="6" width="17.75" style="127" customWidth="1"/>
    <col min="7" max="7" width="5.75" style="127" customWidth="1"/>
    <col min="8" max="8" width="5.75" style="127" hidden="1" customWidth="1" outlineLevel="1"/>
    <col min="9" max="9" width="16.875" style="8" customWidth="1" collapsed="1"/>
    <col min="10" max="10" width="17.625" style="8" customWidth="1"/>
    <col min="11" max="11" width="16.875" style="8" bestFit="1" customWidth="1"/>
    <col min="12" max="12" width="20" style="350" customWidth="1"/>
    <col min="13" max="13" width="40" style="8" customWidth="1"/>
    <col min="14" max="14" width="9" style="127"/>
    <col min="15" max="15" width="27" style="127" customWidth="1"/>
    <col min="16" max="16384" width="9" style="127"/>
  </cols>
  <sheetData>
    <row r="1" spans="1:13" ht="84" hidden="1" customHeight="1" outlineLevel="1" x14ac:dyDescent="0.3">
      <c r="L1" s="415" t="s">
        <v>167</v>
      </c>
      <c r="M1" s="415"/>
    </row>
    <row r="2" spans="1:13" hidden="1" outlineLevel="1" x14ac:dyDescent="0.25"/>
    <row r="3" spans="1:13" hidden="1" outlineLevel="1" x14ac:dyDescent="0.25"/>
    <row r="4" spans="1:13" ht="83.25" customHeight="1" collapsed="1" x14ac:dyDescent="0.25">
      <c r="A4" s="113"/>
      <c r="B4" s="8"/>
      <c r="C4" s="8"/>
      <c r="D4" s="8"/>
      <c r="E4" s="8"/>
      <c r="F4" s="8"/>
      <c r="G4" s="8"/>
      <c r="H4" s="8"/>
      <c r="L4" s="416" t="s">
        <v>284</v>
      </c>
      <c r="M4" s="416"/>
    </row>
    <row r="5" spans="1:13" x14ac:dyDescent="0.25">
      <c r="A5" s="113"/>
      <c r="B5" s="8"/>
      <c r="C5" s="8"/>
      <c r="D5" s="8"/>
      <c r="E5" s="8"/>
      <c r="F5" s="8"/>
      <c r="G5" s="8"/>
      <c r="H5" s="8"/>
    </row>
    <row r="6" spans="1:13" x14ac:dyDescent="0.25">
      <c r="A6" s="113"/>
      <c r="B6" s="8"/>
      <c r="C6" s="8"/>
      <c r="D6" s="8"/>
      <c r="E6" s="8"/>
      <c r="F6" s="8"/>
      <c r="G6" s="8"/>
      <c r="H6" s="8"/>
    </row>
    <row r="7" spans="1:13" x14ac:dyDescent="0.25">
      <c r="A7" s="417" t="s">
        <v>1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1:13" x14ac:dyDescent="0.25">
      <c r="A8" s="417" t="s">
        <v>285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3" x14ac:dyDescent="0.25">
      <c r="A9" s="113"/>
      <c r="B9" s="8"/>
      <c r="C9" s="8"/>
      <c r="D9" s="8"/>
      <c r="E9" s="8"/>
      <c r="F9" s="8"/>
      <c r="G9" s="8"/>
      <c r="H9" s="8"/>
    </row>
    <row r="10" spans="1:13" x14ac:dyDescent="0.25">
      <c r="A10" s="394" t="s">
        <v>14</v>
      </c>
      <c r="B10" s="394" t="s">
        <v>37</v>
      </c>
      <c r="C10" s="394" t="s">
        <v>355</v>
      </c>
      <c r="D10" s="394" t="s">
        <v>18</v>
      </c>
      <c r="E10" s="394"/>
      <c r="F10" s="394"/>
      <c r="G10" s="394"/>
      <c r="H10" s="196"/>
      <c r="I10" s="418" t="s">
        <v>38</v>
      </c>
      <c r="J10" s="419"/>
      <c r="K10" s="419"/>
      <c r="L10" s="420"/>
      <c r="M10" s="394" t="s">
        <v>39</v>
      </c>
    </row>
    <row r="11" spans="1:13" ht="77.25" customHeight="1" x14ac:dyDescent="0.25">
      <c r="A11" s="394"/>
      <c r="B11" s="394"/>
      <c r="C11" s="394"/>
      <c r="D11" s="111" t="s">
        <v>20</v>
      </c>
      <c r="E11" s="111" t="s">
        <v>21</v>
      </c>
      <c r="F11" s="111" t="s">
        <v>22</v>
      </c>
      <c r="G11" s="111" t="s">
        <v>23</v>
      </c>
      <c r="H11" s="196"/>
      <c r="I11" s="234">
        <v>2026</v>
      </c>
      <c r="J11" s="234">
        <v>2027</v>
      </c>
      <c r="K11" s="234">
        <v>2028</v>
      </c>
      <c r="L11" s="351" t="s">
        <v>40</v>
      </c>
      <c r="M11" s="394"/>
    </row>
    <row r="12" spans="1:13" x14ac:dyDescent="0.25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96"/>
      <c r="I12" s="228">
        <v>8</v>
      </c>
      <c r="J12" s="228">
        <v>9</v>
      </c>
      <c r="K12" s="228">
        <v>10</v>
      </c>
      <c r="L12" s="351">
        <v>11</v>
      </c>
      <c r="M12" s="228">
        <v>12</v>
      </c>
    </row>
    <row r="13" spans="1:13" x14ac:dyDescent="0.25">
      <c r="A13" s="421" t="s">
        <v>283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3"/>
    </row>
    <row r="14" spans="1:13" s="128" customFormat="1" ht="41.25" customHeight="1" x14ac:dyDescent="0.25">
      <c r="A14" s="426" t="s">
        <v>107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</row>
    <row r="15" spans="1:13" s="128" customFormat="1" ht="19.5" customHeight="1" x14ac:dyDescent="0.25">
      <c r="A15" s="426" t="s">
        <v>108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</row>
    <row r="16" spans="1:13" s="300" customFormat="1" ht="63" x14ac:dyDescent="0.25">
      <c r="A16" s="390" t="s">
        <v>3</v>
      </c>
      <c r="B16" s="529" t="s">
        <v>413</v>
      </c>
      <c r="C16" s="530" t="s">
        <v>321</v>
      </c>
      <c r="D16" s="307" t="s">
        <v>371</v>
      </c>
      <c r="E16" s="307" t="s">
        <v>43</v>
      </c>
      <c r="F16" s="308" t="s">
        <v>372</v>
      </c>
      <c r="G16" s="307">
        <v>611</v>
      </c>
      <c r="H16" s="531" t="s">
        <v>374</v>
      </c>
      <c r="I16" s="253">
        <v>5542</v>
      </c>
      <c r="J16" s="253">
        <v>5542</v>
      </c>
      <c r="K16" s="253">
        <v>5542</v>
      </c>
      <c r="L16" s="278">
        <f>SUM(I16:K16)</f>
        <v>16626</v>
      </c>
      <c r="M16" s="385" t="s">
        <v>88</v>
      </c>
    </row>
    <row r="17" spans="1:15" s="300" customFormat="1" ht="63" x14ac:dyDescent="0.25">
      <c r="A17" s="390"/>
      <c r="B17" s="529" t="s">
        <v>414</v>
      </c>
      <c r="C17" s="530" t="s">
        <v>321</v>
      </c>
      <c r="D17" s="307" t="s">
        <v>371</v>
      </c>
      <c r="E17" s="307" t="s">
        <v>43</v>
      </c>
      <c r="F17" s="308" t="s">
        <v>373</v>
      </c>
      <c r="G17" s="307">
        <v>244</v>
      </c>
      <c r="H17" s="307" t="s">
        <v>375</v>
      </c>
      <c r="I17" s="253">
        <v>1231</v>
      </c>
      <c r="J17" s="253">
        <v>1231</v>
      </c>
      <c r="K17" s="253">
        <v>1231</v>
      </c>
      <c r="L17" s="278">
        <f t="shared" ref="L17:L22" si="0">SUM(I17:K17)</f>
        <v>3693</v>
      </c>
      <c r="M17" s="385"/>
    </row>
    <row r="18" spans="1:15" s="300" customFormat="1" ht="63" x14ac:dyDescent="0.25">
      <c r="A18" s="390"/>
      <c r="B18" s="529" t="s">
        <v>381</v>
      </c>
      <c r="C18" s="530" t="s">
        <v>321</v>
      </c>
      <c r="D18" s="531" t="s">
        <v>371</v>
      </c>
      <c r="E18" s="531" t="s">
        <v>43</v>
      </c>
      <c r="F18" s="308" t="s">
        <v>376</v>
      </c>
      <c r="G18" s="307">
        <v>244</v>
      </c>
      <c r="H18" s="307" t="s">
        <v>375</v>
      </c>
      <c r="I18" s="253">
        <v>3940</v>
      </c>
      <c r="J18" s="253">
        <v>3940</v>
      </c>
      <c r="K18" s="253">
        <v>3940</v>
      </c>
      <c r="L18" s="278">
        <f t="shared" si="0"/>
        <v>11820</v>
      </c>
      <c r="M18" s="385"/>
    </row>
    <row r="19" spans="1:15" s="300" customFormat="1" ht="63" x14ac:dyDescent="0.25">
      <c r="A19" s="390"/>
      <c r="B19" s="529" t="s">
        <v>382</v>
      </c>
      <c r="C19" s="530" t="s">
        <v>321</v>
      </c>
      <c r="D19" s="531" t="s">
        <v>371</v>
      </c>
      <c r="E19" s="531" t="s">
        <v>43</v>
      </c>
      <c r="F19" s="308" t="s">
        <v>377</v>
      </c>
      <c r="G19" s="307">
        <v>244</v>
      </c>
      <c r="H19" s="307">
        <v>1</v>
      </c>
      <c r="I19" s="253">
        <v>1231</v>
      </c>
      <c r="J19" s="253">
        <v>1231</v>
      </c>
      <c r="K19" s="253">
        <v>1231</v>
      </c>
      <c r="L19" s="278">
        <f t="shared" si="0"/>
        <v>3693</v>
      </c>
      <c r="M19" s="385"/>
    </row>
    <row r="20" spans="1:15" s="300" customFormat="1" ht="63" x14ac:dyDescent="0.25">
      <c r="A20" s="390"/>
      <c r="B20" s="529" t="s">
        <v>383</v>
      </c>
      <c r="C20" s="530" t="s">
        <v>321</v>
      </c>
      <c r="D20" s="531" t="s">
        <v>371</v>
      </c>
      <c r="E20" s="531" t="s">
        <v>43</v>
      </c>
      <c r="F20" s="308" t="s">
        <v>378</v>
      </c>
      <c r="G20" s="307">
        <v>244</v>
      </c>
      <c r="H20" s="307">
        <v>1</v>
      </c>
      <c r="I20" s="253">
        <v>11206</v>
      </c>
      <c r="J20" s="253">
        <v>11206</v>
      </c>
      <c r="K20" s="253">
        <v>11206</v>
      </c>
      <c r="L20" s="278">
        <f t="shared" si="0"/>
        <v>33618</v>
      </c>
      <c r="M20" s="385"/>
    </row>
    <row r="21" spans="1:15" s="300" customFormat="1" ht="63" x14ac:dyDescent="0.25">
      <c r="A21" s="390"/>
      <c r="B21" s="529" t="s">
        <v>384</v>
      </c>
      <c r="C21" s="530" t="s">
        <v>321</v>
      </c>
      <c r="D21" s="531" t="s">
        <v>371</v>
      </c>
      <c r="E21" s="531" t="s">
        <v>43</v>
      </c>
      <c r="F21" s="308" t="s">
        <v>379</v>
      </c>
      <c r="G21" s="307">
        <v>244</v>
      </c>
      <c r="H21" s="307">
        <v>1</v>
      </c>
      <c r="I21" s="253">
        <v>1602.3</v>
      </c>
      <c r="J21" s="253">
        <v>1602.3</v>
      </c>
      <c r="K21" s="253">
        <v>1602.3</v>
      </c>
      <c r="L21" s="278">
        <f t="shared" si="0"/>
        <v>4806.8999999999996</v>
      </c>
      <c r="M21" s="385"/>
    </row>
    <row r="22" spans="1:15" s="300" customFormat="1" ht="63" x14ac:dyDescent="0.25">
      <c r="A22" s="390"/>
      <c r="B22" s="532" t="s">
        <v>385</v>
      </c>
      <c r="C22" s="530" t="s">
        <v>321</v>
      </c>
      <c r="D22" s="531" t="s">
        <v>371</v>
      </c>
      <c r="E22" s="531" t="s">
        <v>43</v>
      </c>
      <c r="F22" s="308" t="s">
        <v>380</v>
      </c>
      <c r="G22" s="307">
        <v>244</v>
      </c>
      <c r="H22" s="307">
        <v>1</v>
      </c>
      <c r="I22" s="253">
        <v>12182</v>
      </c>
      <c r="J22" s="253">
        <v>12182</v>
      </c>
      <c r="K22" s="253">
        <v>12182</v>
      </c>
      <c r="L22" s="278">
        <f t="shared" si="0"/>
        <v>36546</v>
      </c>
      <c r="M22" s="385"/>
    </row>
    <row r="23" spans="1:15" s="300" customFormat="1" ht="42" customHeight="1" x14ac:dyDescent="0.25">
      <c r="A23" s="390"/>
      <c r="B23" s="319" t="s">
        <v>401</v>
      </c>
      <c r="C23" s="309" t="s">
        <v>174</v>
      </c>
      <c r="D23" s="310" t="s">
        <v>25</v>
      </c>
      <c r="E23" s="310" t="s">
        <v>25</v>
      </c>
      <c r="F23" s="310" t="s">
        <v>25</v>
      </c>
      <c r="G23" s="311" t="s">
        <v>25</v>
      </c>
      <c r="H23" s="311"/>
      <c r="I23" s="312">
        <f>SUM(I16:I22)</f>
        <v>36934.300000000003</v>
      </c>
      <c r="J23" s="312">
        <f t="shared" ref="J23:L23" si="1">SUM(J16:J22)</f>
        <v>36934.300000000003</v>
      </c>
      <c r="K23" s="312">
        <f t="shared" si="1"/>
        <v>36934.300000000003</v>
      </c>
      <c r="L23" s="312">
        <f t="shared" si="1"/>
        <v>110802.9</v>
      </c>
      <c r="M23" s="385"/>
      <c r="O23" s="304">
        <f>I23+J23+K23-L23</f>
        <v>0</v>
      </c>
    </row>
    <row r="24" spans="1:15" s="301" customFormat="1" ht="63" x14ac:dyDescent="0.25">
      <c r="A24" s="427" t="s">
        <v>59</v>
      </c>
      <c r="B24" s="529" t="s">
        <v>387</v>
      </c>
      <c r="C24" s="530" t="s">
        <v>321</v>
      </c>
      <c r="D24" s="531" t="s">
        <v>371</v>
      </c>
      <c r="E24" s="531" t="s">
        <v>43</v>
      </c>
      <c r="F24" s="308" t="s">
        <v>386</v>
      </c>
      <c r="G24" s="307">
        <v>611</v>
      </c>
      <c r="H24" s="533" t="s">
        <v>374</v>
      </c>
      <c r="I24" s="253">
        <v>2099.9259999999999</v>
      </c>
      <c r="J24" s="253">
        <v>2099.9259999999999</v>
      </c>
      <c r="K24" s="253">
        <v>2099.9259999999999</v>
      </c>
      <c r="L24" s="278">
        <f>SUM(I24:K24)</f>
        <v>6299.7780000000002</v>
      </c>
      <c r="M24" s="424" t="s">
        <v>88</v>
      </c>
    </row>
    <row r="25" spans="1:15" s="301" customFormat="1" ht="63" x14ac:dyDescent="0.25">
      <c r="A25" s="428"/>
      <c r="B25" s="529" t="s">
        <v>388</v>
      </c>
      <c r="C25" s="530" t="s">
        <v>321</v>
      </c>
      <c r="D25" s="531" t="s">
        <v>371</v>
      </c>
      <c r="E25" s="531" t="s">
        <v>43</v>
      </c>
      <c r="F25" s="308" t="s">
        <v>393</v>
      </c>
      <c r="G25" s="307">
        <v>244</v>
      </c>
      <c r="H25" s="533" t="s">
        <v>375</v>
      </c>
      <c r="I25" s="253">
        <v>1048</v>
      </c>
      <c r="J25" s="253">
        <v>1048</v>
      </c>
      <c r="K25" s="253">
        <v>1048</v>
      </c>
      <c r="L25" s="278">
        <f t="shared" ref="L25:L29" si="2">SUM(I25:K25)</f>
        <v>3144</v>
      </c>
      <c r="M25" s="430"/>
    </row>
    <row r="26" spans="1:15" s="301" customFormat="1" ht="63" x14ac:dyDescent="0.25">
      <c r="A26" s="428"/>
      <c r="B26" s="529" t="s">
        <v>389</v>
      </c>
      <c r="C26" s="530" t="s">
        <v>321</v>
      </c>
      <c r="D26" s="531" t="s">
        <v>371</v>
      </c>
      <c r="E26" s="531" t="s">
        <v>43</v>
      </c>
      <c r="F26" s="308" t="s">
        <v>394</v>
      </c>
      <c r="G26" s="307">
        <v>244</v>
      </c>
      <c r="H26" s="533" t="s">
        <v>375</v>
      </c>
      <c r="I26" s="253">
        <v>2203</v>
      </c>
      <c r="J26" s="253">
        <v>2203</v>
      </c>
      <c r="K26" s="253">
        <v>2203</v>
      </c>
      <c r="L26" s="278">
        <f t="shared" si="2"/>
        <v>6609</v>
      </c>
      <c r="M26" s="430"/>
    </row>
    <row r="27" spans="1:15" s="301" customFormat="1" ht="63" x14ac:dyDescent="0.25">
      <c r="A27" s="428"/>
      <c r="B27" s="529" t="s">
        <v>390</v>
      </c>
      <c r="C27" s="530" t="s">
        <v>321</v>
      </c>
      <c r="D27" s="531" t="s">
        <v>371</v>
      </c>
      <c r="E27" s="531" t="s">
        <v>43</v>
      </c>
      <c r="F27" s="308" t="s">
        <v>395</v>
      </c>
      <c r="G27" s="307">
        <v>244</v>
      </c>
      <c r="H27" s="533" t="s">
        <v>375</v>
      </c>
      <c r="I27" s="253">
        <v>1048</v>
      </c>
      <c r="J27" s="253">
        <v>1048</v>
      </c>
      <c r="K27" s="253">
        <v>1048</v>
      </c>
      <c r="L27" s="278">
        <f t="shared" si="2"/>
        <v>3144</v>
      </c>
      <c r="M27" s="430"/>
    </row>
    <row r="28" spans="1:15" s="301" customFormat="1" ht="63" x14ac:dyDescent="0.25">
      <c r="A28" s="428"/>
      <c r="B28" s="529" t="s">
        <v>391</v>
      </c>
      <c r="C28" s="530" t="s">
        <v>321</v>
      </c>
      <c r="D28" s="531" t="s">
        <v>371</v>
      </c>
      <c r="E28" s="531" t="s">
        <v>43</v>
      </c>
      <c r="F28" s="308" t="s">
        <v>396</v>
      </c>
      <c r="G28" s="307">
        <v>244</v>
      </c>
      <c r="H28" s="533" t="s">
        <v>375</v>
      </c>
      <c r="I28" s="253">
        <v>7688.7740000000003</v>
      </c>
      <c r="J28" s="253">
        <v>7688.7740000000003</v>
      </c>
      <c r="K28" s="253">
        <v>7688.7740000000003</v>
      </c>
      <c r="L28" s="278">
        <f t="shared" si="2"/>
        <v>23066.322</v>
      </c>
      <c r="M28" s="430"/>
    </row>
    <row r="29" spans="1:15" s="301" customFormat="1" ht="63" x14ac:dyDescent="0.25">
      <c r="A29" s="428"/>
      <c r="B29" s="532" t="s">
        <v>392</v>
      </c>
      <c r="C29" s="530" t="s">
        <v>321</v>
      </c>
      <c r="D29" s="531" t="s">
        <v>371</v>
      </c>
      <c r="E29" s="531" t="s">
        <v>43</v>
      </c>
      <c r="F29" s="308" t="s">
        <v>397</v>
      </c>
      <c r="G29" s="307">
        <v>244</v>
      </c>
      <c r="H29" s="533" t="s">
        <v>375</v>
      </c>
      <c r="I29" s="253">
        <v>4543</v>
      </c>
      <c r="J29" s="253">
        <v>4543</v>
      </c>
      <c r="K29" s="253">
        <v>4543</v>
      </c>
      <c r="L29" s="278">
        <f t="shared" si="2"/>
        <v>13629</v>
      </c>
      <c r="M29" s="430"/>
    </row>
    <row r="30" spans="1:15" s="301" customFormat="1" ht="47.25" x14ac:dyDescent="0.25">
      <c r="A30" s="429"/>
      <c r="B30" s="319" t="s">
        <v>400</v>
      </c>
      <c r="C30" s="309" t="s">
        <v>174</v>
      </c>
      <c r="D30" s="310" t="s">
        <v>25</v>
      </c>
      <c r="E30" s="310" t="s">
        <v>25</v>
      </c>
      <c r="F30" s="310" t="s">
        <v>25</v>
      </c>
      <c r="G30" s="310" t="s">
        <v>25</v>
      </c>
      <c r="H30" s="310"/>
      <c r="I30" s="312">
        <f t="shared" ref="I30:K30" si="3">SUM(I24:I29)</f>
        <v>18630.7</v>
      </c>
      <c r="J30" s="312">
        <f t="shared" si="3"/>
        <v>18630.7</v>
      </c>
      <c r="K30" s="312">
        <f t="shared" si="3"/>
        <v>18630.7</v>
      </c>
      <c r="L30" s="312">
        <f>SUM(L24:L29)</f>
        <v>55892.1</v>
      </c>
      <c r="M30" s="425"/>
      <c r="O30" s="305">
        <f>I30+J30+K30-L30</f>
        <v>0</v>
      </c>
    </row>
    <row r="31" spans="1:15" s="8" customFormat="1" ht="52.5" customHeight="1" x14ac:dyDescent="0.25">
      <c r="A31" s="403" t="s">
        <v>61</v>
      </c>
      <c r="B31" s="424" t="s">
        <v>73</v>
      </c>
      <c r="C31" s="529" t="s">
        <v>326</v>
      </c>
      <c r="D31" s="307">
        <v>282</v>
      </c>
      <c r="E31" s="534" t="s">
        <v>43</v>
      </c>
      <c r="F31" s="535" t="s">
        <v>176</v>
      </c>
      <c r="G31" s="534">
        <v>244</v>
      </c>
      <c r="H31" s="307">
        <v>1</v>
      </c>
      <c r="I31" s="253">
        <v>1650.83</v>
      </c>
      <c r="J31" s="253">
        <v>1650.83</v>
      </c>
      <c r="K31" s="253">
        <v>1650.83</v>
      </c>
      <c r="L31" s="536">
        <f>SUM(I31:K31)</f>
        <v>4952.49</v>
      </c>
      <c r="M31" s="401" t="s">
        <v>88</v>
      </c>
    </row>
    <row r="32" spans="1:15" s="8" customFormat="1" ht="55.5" customHeight="1" x14ac:dyDescent="0.25">
      <c r="A32" s="404"/>
      <c r="B32" s="430"/>
      <c r="C32" s="529" t="s">
        <v>315</v>
      </c>
      <c r="D32" s="307">
        <v>285</v>
      </c>
      <c r="E32" s="534"/>
      <c r="F32" s="537"/>
      <c r="G32" s="534"/>
      <c r="H32" s="307">
        <v>1</v>
      </c>
      <c r="I32" s="253">
        <v>5200</v>
      </c>
      <c r="J32" s="253">
        <v>5200</v>
      </c>
      <c r="K32" s="253">
        <v>5200</v>
      </c>
      <c r="L32" s="536">
        <f>SUM(I32:K32)</f>
        <v>15600</v>
      </c>
      <c r="M32" s="409"/>
    </row>
    <row r="33" spans="1:15" s="8" customFormat="1" x14ac:dyDescent="0.25">
      <c r="A33" s="405"/>
      <c r="B33" s="425"/>
      <c r="C33" s="309" t="s">
        <v>174</v>
      </c>
      <c r="D33" s="310" t="s">
        <v>25</v>
      </c>
      <c r="E33" s="310" t="s">
        <v>25</v>
      </c>
      <c r="F33" s="310" t="s">
        <v>25</v>
      </c>
      <c r="G33" s="310" t="s">
        <v>25</v>
      </c>
      <c r="H33" s="310"/>
      <c r="I33" s="312">
        <f>I31+I32</f>
        <v>6850.83</v>
      </c>
      <c r="J33" s="312">
        <f t="shared" ref="J33:L33" si="4">J31+J32</f>
        <v>6850.83</v>
      </c>
      <c r="K33" s="312">
        <f t="shared" si="4"/>
        <v>6850.83</v>
      </c>
      <c r="L33" s="312">
        <f t="shared" si="4"/>
        <v>20552.489999999998</v>
      </c>
      <c r="M33" s="402"/>
      <c r="O33" s="235">
        <f>I33+J33+K33-L33</f>
        <v>0</v>
      </c>
    </row>
    <row r="34" spans="1:15" s="10" customFormat="1" ht="69.75" customHeight="1" x14ac:dyDescent="0.25">
      <c r="A34" s="403" t="s">
        <v>62</v>
      </c>
      <c r="B34" s="424" t="s">
        <v>411</v>
      </c>
      <c r="C34" s="530" t="s">
        <v>321</v>
      </c>
      <c r="D34" s="307">
        <v>281</v>
      </c>
      <c r="E34" s="307" t="s">
        <v>43</v>
      </c>
      <c r="F34" s="308" t="s">
        <v>370</v>
      </c>
      <c r="G34" s="307">
        <v>244</v>
      </c>
      <c r="H34" s="307">
        <v>1</v>
      </c>
      <c r="I34" s="253">
        <v>2638.7550000000001</v>
      </c>
      <c r="J34" s="253">
        <v>2638.7550000000001</v>
      </c>
      <c r="K34" s="253">
        <v>2638.7550000000001</v>
      </c>
      <c r="L34" s="536">
        <f>SUM(I34:K34)</f>
        <v>7916.2650000000003</v>
      </c>
      <c r="M34" s="401" t="s">
        <v>87</v>
      </c>
    </row>
    <row r="35" spans="1:15" s="10" customFormat="1" x14ac:dyDescent="0.25">
      <c r="A35" s="405"/>
      <c r="B35" s="425"/>
      <c r="C35" s="309" t="s">
        <v>174</v>
      </c>
      <c r="D35" s="310" t="s">
        <v>25</v>
      </c>
      <c r="E35" s="310" t="s">
        <v>25</v>
      </c>
      <c r="F35" s="310" t="s">
        <v>25</v>
      </c>
      <c r="G35" s="310" t="s">
        <v>25</v>
      </c>
      <c r="H35" s="310"/>
      <c r="I35" s="312">
        <f>I34</f>
        <v>2638.7550000000001</v>
      </c>
      <c r="J35" s="312">
        <f>J34</f>
        <v>2638.7550000000001</v>
      </c>
      <c r="K35" s="312">
        <f>K34</f>
        <v>2638.7550000000001</v>
      </c>
      <c r="L35" s="312">
        <f t="shared" ref="L35" si="5">SUM(I35:K35)</f>
        <v>7916.2650000000003</v>
      </c>
      <c r="M35" s="402"/>
      <c r="O35" s="306">
        <f>I35+J35+K35-L35</f>
        <v>0</v>
      </c>
    </row>
    <row r="36" spans="1:15" s="10" customFormat="1" x14ac:dyDescent="0.25">
      <c r="A36" s="403" t="s">
        <v>162</v>
      </c>
      <c r="B36" s="406" t="s">
        <v>179</v>
      </c>
      <c r="C36" s="406" t="s">
        <v>315</v>
      </c>
      <c r="D36" s="410">
        <v>247</v>
      </c>
      <c r="E36" s="410" t="s">
        <v>43</v>
      </c>
      <c r="F36" s="313" t="s">
        <v>180</v>
      </c>
      <c r="G36" s="410">
        <v>244</v>
      </c>
      <c r="H36" s="314"/>
      <c r="I36" s="332" t="s">
        <v>405</v>
      </c>
      <c r="J36" s="332">
        <v>0</v>
      </c>
      <c r="K36" s="332">
        <v>0</v>
      </c>
      <c r="L36" s="352">
        <f>SUM(I36:K36)</f>
        <v>0</v>
      </c>
      <c r="M36" s="401" t="s">
        <v>88</v>
      </c>
    </row>
    <row r="37" spans="1:15" s="10" customFormat="1" x14ac:dyDescent="0.25">
      <c r="A37" s="404"/>
      <c r="B37" s="407"/>
      <c r="C37" s="407"/>
      <c r="D37" s="411"/>
      <c r="E37" s="411"/>
      <c r="F37" s="313" t="s">
        <v>181</v>
      </c>
      <c r="G37" s="411"/>
      <c r="H37" s="315"/>
      <c r="I37" s="332" t="s">
        <v>405</v>
      </c>
      <c r="J37" s="332">
        <v>0</v>
      </c>
      <c r="K37" s="332">
        <v>0</v>
      </c>
      <c r="L37" s="352">
        <f>SUM(I37:K37)</f>
        <v>0</v>
      </c>
      <c r="M37" s="409"/>
    </row>
    <row r="38" spans="1:15" s="10" customFormat="1" x14ac:dyDescent="0.25">
      <c r="A38" s="404"/>
      <c r="B38" s="407"/>
      <c r="C38" s="407"/>
      <c r="D38" s="411"/>
      <c r="E38" s="411"/>
      <c r="F38" s="313" t="s">
        <v>203</v>
      </c>
      <c r="G38" s="411"/>
      <c r="H38" s="315">
        <v>10</v>
      </c>
      <c r="I38" s="332" t="s">
        <v>405</v>
      </c>
      <c r="J38" s="332">
        <v>0</v>
      </c>
      <c r="K38" s="332">
        <v>0</v>
      </c>
      <c r="L38" s="352">
        <f>SUM(I38:K38)</f>
        <v>0</v>
      </c>
      <c r="M38" s="409"/>
    </row>
    <row r="39" spans="1:15" s="10" customFormat="1" x14ac:dyDescent="0.25">
      <c r="A39" s="404"/>
      <c r="B39" s="407"/>
      <c r="C39" s="408"/>
      <c r="D39" s="412"/>
      <c r="E39" s="412"/>
      <c r="F39" s="313" t="s">
        <v>202</v>
      </c>
      <c r="G39" s="412"/>
      <c r="H39" s="316">
        <v>1</v>
      </c>
      <c r="I39" s="332" t="s">
        <v>405</v>
      </c>
      <c r="J39" s="332"/>
      <c r="K39" s="332"/>
      <c r="L39" s="352">
        <f>SUM(I39:K39)</f>
        <v>0</v>
      </c>
      <c r="M39" s="409"/>
    </row>
    <row r="40" spans="1:15" s="10" customFormat="1" x14ac:dyDescent="0.25">
      <c r="A40" s="405"/>
      <c r="B40" s="408"/>
      <c r="C40" s="309" t="s">
        <v>174</v>
      </c>
      <c r="D40" s="310" t="s">
        <v>25</v>
      </c>
      <c r="E40" s="310" t="s">
        <v>25</v>
      </c>
      <c r="F40" s="310" t="s">
        <v>25</v>
      </c>
      <c r="G40" s="310" t="s">
        <v>25</v>
      </c>
      <c r="H40" s="310"/>
      <c r="I40" s="312">
        <f t="shared" ref="I40:K40" si="6">SUM(I36:I37)</f>
        <v>0</v>
      </c>
      <c r="J40" s="312">
        <f t="shared" si="6"/>
        <v>0</v>
      </c>
      <c r="K40" s="312">
        <f t="shared" si="6"/>
        <v>0</v>
      </c>
      <c r="L40" s="312">
        <f>SUM(L36:L39)</f>
        <v>0</v>
      </c>
      <c r="M40" s="402"/>
    </row>
    <row r="41" spans="1:15" s="10" customFormat="1" ht="47.25" x14ac:dyDescent="0.25">
      <c r="A41" s="403" t="s">
        <v>173</v>
      </c>
      <c r="B41" s="413" t="s">
        <v>412</v>
      </c>
      <c r="C41" s="358" t="s">
        <v>315</v>
      </c>
      <c r="D41" s="359">
        <v>285</v>
      </c>
      <c r="E41" s="359" t="s">
        <v>43</v>
      </c>
      <c r="F41" s="356" t="s">
        <v>177</v>
      </c>
      <c r="G41" s="359">
        <v>244</v>
      </c>
      <c r="H41" s="359">
        <v>1</v>
      </c>
      <c r="I41" s="357">
        <v>38050</v>
      </c>
      <c r="J41" s="357">
        <f>I41</f>
        <v>38050</v>
      </c>
      <c r="K41" s="357">
        <f>J41</f>
        <v>38050</v>
      </c>
      <c r="L41" s="360">
        <f>SUM(I41:K41)</f>
        <v>114150</v>
      </c>
      <c r="M41" s="401" t="s">
        <v>175</v>
      </c>
    </row>
    <row r="42" spans="1:15" s="10" customFormat="1" x14ac:dyDescent="0.25">
      <c r="A42" s="405"/>
      <c r="B42" s="414"/>
      <c r="C42" s="361" t="s">
        <v>174</v>
      </c>
      <c r="D42" s="362" t="s">
        <v>25</v>
      </c>
      <c r="E42" s="362" t="s">
        <v>25</v>
      </c>
      <c r="F42" s="362" t="s">
        <v>25</v>
      </c>
      <c r="G42" s="362" t="s">
        <v>25</v>
      </c>
      <c r="H42" s="362"/>
      <c r="I42" s="363">
        <f>I41</f>
        <v>38050</v>
      </c>
      <c r="J42" s="363">
        <f>J41</f>
        <v>38050</v>
      </c>
      <c r="K42" s="363">
        <f>K41</f>
        <v>38050</v>
      </c>
      <c r="L42" s="363">
        <f>SUM(I42:K42)</f>
        <v>114150</v>
      </c>
      <c r="M42" s="402"/>
    </row>
    <row r="43" spans="1:15" s="10" customFormat="1" ht="47.25" outlineLevel="1" x14ac:dyDescent="0.25">
      <c r="A43" s="197" t="s">
        <v>178</v>
      </c>
      <c r="B43" s="317" t="s">
        <v>198</v>
      </c>
      <c r="C43" s="318" t="s">
        <v>315</v>
      </c>
      <c r="D43" s="308" t="s">
        <v>398</v>
      </c>
      <c r="E43" s="308" t="s">
        <v>43</v>
      </c>
      <c r="F43" s="308" t="s">
        <v>199</v>
      </c>
      <c r="G43" s="308" t="s">
        <v>193</v>
      </c>
      <c r="H43" s="308" t="s">
        <v>222</v>
      </c>
      <c r="I43" s="253">
        <v>0</v>
      </c>
      <c r="J43" s="253">
        <v>0</v>
      </c>
      <c r="K43" s="253">
        <v>0</v>
      </c>
      <c r="L43" s="278">
        <f>I43+J43+K43</f>
        <v>0</v>
      </c>
      <c r="M43" s="401" t="s">
        <v>228</v>
      </c>
    </row>
    <row r="44" spans="1:15" s="130" customFormat="1" outlineLevel="1" x14ac:dyDescent="0.25">
      <c r="A44" s="112"/>
      <c r="B44" s="303"/>
      <c r="C44" s="310" t="s">
        <v>174</v>
      </c>
      <c r="D44" s="310" t="s">
        <v>25</v>
      </c>
      <c r="E44" s="310" t="s">
        <v>25</v>
      </c>
      <c r="F44" s="310" t="s">
        <v>25</v>
      </c>
      <c r="G44" s="310" t="s">
        <v>25</v>
      </c>
      <c r="H44" s="310"/>
      <c r="I44" s="312">
        <f>SUM(I43)</f>
        <v>0</v>
      </c>
      <c r="J44" s="312">
        <f t="shared" ref="J44:L44" si="7">SUM(J43)</f>
        <v>0</v>
      </c>
      <c r="K44" s="312">
        <f t="shared" si="7"/>
        <v>0</v>
      </c>
      <c r="L44" s="312">
        <f t="shared" si="7"/>
        <v>0</v>
      </c>
      <c r="M44" s="402"/>
    </row>
    <row r="45" spans="1:15" s="131" customFormat="1" x14ac:dyDescent="0.25">
      <c r="A45" s="45"/>
      <c r="B45" s="46" t="s">
        <v>78</v>
      </c>
      <c r="C45" s="45" t="s">
        <v>25</v>
      </c>
      <c r="D45" s="45" t="s">
        <v>25</v>
      </c>
      <c r="E45" s="45" t="s">
        <v>25</v>
      </c>
      <c r="F45" s="45" t="s">
        <v>25</v>
      </c>
      <c r="G45" s="45" t="s">
        <v>25</v>
      </c>
      <c r="H45" s="45"/>
      <c r="I45" s="349">
        <f>I23+I30+I33+I35+I40+I42+I44</f>
        <v>103104.58499999999</v>
      </c>
      <c r="J45" s="331">
        <f t="shared" ref="J45:L45" si="8">J23+J30+J33+J35+J40+J42+J44</f>
        <v>103104.58499999999</v>
      </c>
      <c r="K45" s="331">
        <f t="shared" si="8"/>
        <v>103104.58499999999</v>
      </c>
      <c r="L45" s="353">
        <f t="shared" si="8"/>
        <v>309313.755</v>
      </c>
      <c r="M45" s="45" t="s">
        <v>25</v>
      </c>
    </row>
    <row r="46" spans="1:15" s="130" customFormat="1" x14ac:dyDescent="0.25">
      <c r="A46" s="132"/>
      <c r="I46" s="10"/>
      <c r="J46" s="10" t="s">
        <v>149</v>
      </c>
      <c r="K46" s="10"/>
      <c r="L46" s="354"/>
      <c r="M46" s="10"/>
    </row>
    <row r="47" spans="1:15" x14ac:dyDescent="0.25">
      <c r="I47" s="235"/>
    </row>
    <row r="48" spans="1:15" x14ac:dyDescent="0.25">
      <c r="I48" s="235"/>
    </row>
    <row r="50" spans="9:12" x14ac:dyDescent="0.25">
      <c r="I50" s="12"/>
      <c r="J50" s="12"/>
      <c r="K50" s="12"/>
      <c r="L50" s="355"/>
    </row>
    <row r="51" spans="9:12" x14ac:dyDescent="0.25">
      <c r="I51" s="12"/>
      <c r="J51" s="12"/>
      <c r="K51" s="12"/>
      <c r="L51" s="355"/>
    </row>
    <row r="52" spans="9:12" x14ac:dyDescent="0.25">
      <c r="I52" s="12"/>
      <c r="J52" s="12"/>
      <c r="K52" s="12"/>
      <c r="L52" s="355"/>
    </row>
    <row r="53" spans="9:12" x14ac:dyDescent="0.25">
      <c r="I53" s="12"/>
      <c r="J53" s="12"/>
      <c r="K53" s="12"/>
      <c r="L53" s="355"/>
    </row>
    <row r="54" spans="9:12" x14ac:dyDescent="0.25">
      <c r="I54" s="236"/>
      <c r="J54" s="236"/>
      <c r="K54" s="236"/>
      <c r="L54" s="355"/>
    </row>
    <row r="55" spans="9:12" x14ac:dyDescent="0.25">
      <c r="I55" s="12"/>
      <c r="J55" s="12"/>
      <c r="K55" s="12"/>
      <c r="L55" s="355"/>
    </row>
    <row r="56" spans="9:12" x14ac:dyDescent="0.25">
      <c r="I56" s="12"/>
      <c r="J56" s="12"/>
      <c r="K56" s="12"/>
      <c r="L56" s="355"/>
    </row>
    <row r="57" spans="9:12" x14ac:dyDescent="0.25">
      <c r="I57" s="12"/>
      <c r="J57" s="12"/>
      <c r="K57" s="12"/>
      <c r="L57" s="355"/>
    </row>
  </sheetData>
  <mergeCells count="37">
    <mergeCell ref="B34:B35"/>
    <mergeCell ref="A34:A35"/>
    <mergeCell ref="A15:M15"/>
    <mergeCell ref="A14:M14"/>
    <mergeCell ref="M16:M23"/>
    <mergeCell ref="M31:M33"/>
    <mergeCell ref="M34:M35"/>
    <mergeCell ref="B31:B33"/>
    <mergeCell ref="A16:A23"/>
    <mergeCell ref="A24:A30"/>
    <mergeCell ref="M24:M30"/>
    <mergeCell ref="L1:M1"/>
    <mergeCell ref="L4:M4"/>
    <mergeCell ref="G31:G32"/>
    <mergeCell ref="E31:E32"/>
    <mergeCell ref="F31:F32"/>
    <mergeCell ref="A7:M7"/>
    <mergeCell ref="A8:M8"/>
    <mergeCell ref="A10:A11"/>
    <mergeCell ref="B10:B11"/>
    <mergeCell ref="C10:C11"/>
    <mergeCell ref="D10:G10"/>
    <mergeCell ref="M10:M11"/>
    <mergeCell ref="A31:A33"/>
    <mergeCell ref="I10:L10"/>
    <mergeCell ref="A13:M13"/>
    <mergeCell ref="M41:M42"/>
    <mergeCell ref="M43:M44"/>
    <mergeCell ref="A36:A40"/>
    <mergeCell ref="B36:B40"/>
    <mergeCell ref="M36:M40"/>
    <mergeCell ref="G36:G39"/>
    <mergeCell ref="A41:A42"/>
    <mergeCell ref="B41:B42"/>
    <mergeCell ref="D36:D39"/>
    <mergeCell ref="E36:E39"/>
    <mergeCell ref="C36:C39"/>
  </mergeCells>
  <pageMargins left="0.78740157480314965" right="0.78740157480314965" top="1.1811023622047245" bottom="0.39370078740157483" header="0.31496062992125984" footer="0.31496062992125984"/>
  <pageSetup paperSize="9" scale="50" firstPageNumber="34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0"/>
  <sheetViews>
    <sheetView view="pageBreakPreview" topLeftCell="A7" zoomScale="70" zoomScaleNormal="70" zoomScaleSheetLayoutView="70" workbookViewId="0">
      <selection activeCell="B7" sqref="B7"/>
    </sheetView>
  </sheetViews>
  <sheetFormatPr defaultColWidth="9" defaultRowHeight="15.75" outlineLevelRow="1" outlineLevelCol="1" x14ac:dyDescent="0.25"/>
  <cols>
    <col min="1" max="1" width="5.375" style="116" customWidth="1"/>
    <col min="2" max="2" width="63.125" style="117" customWidth="1"/>
    <col min="3" max="3" width="12.75" style="116" customWidth="1"/>
    <col min="4" max="4" width="29.375" style="117" customWidth="1"/>
    <col min="5" max="5" width="13" style="210" customWidth="1" outlineLevel="1"/>
    <col min="6" max="7" width="13.875" style="117" customWidth="1" outlineLevel="1"/>
    <col min="8" max="16384" width="9" style="117"/>
  </cols>
  <sheetData>
    <row r="1" spans="1:7" ht="81.75" hidden="1" customHeight="1" outlineLevel="1" x14ac:dyDescent="0.25">
      <c r="F1" s="431" t="s">
        <v>208</v>
      </c>
      <c r="G1" s="431"/>
    </row>
    <row r="2" spans="1:7" ht="18.75" hidden="1" outlineLevel="1" x14ac:dyDescent="0.3">
      <c r="F2" s="143"/>
      <c r="G2" s="143"/>
    </row>
    <row r="3" spans="1:7" ht="18.75" hidden="1" outlineLevel="1" x14ac:dyDescent="0.3">
      <c r="F3" s="143"/>
      <c r="G3" s="143"/>
    </row>
    <row r="4" spans="1:7" ht="18.75" outlineLevel="1" x14ac:dyDescent="0.3">
      <c r="A4" s="258"/>
      <c r="C4" s="258"/>
      <c r="D4" s="4" t="s">
        <v>5</v>
      </c>
      <c r="F4" s="143"/>
      <c r="G4" s="143"/>
    </row>
    <row r="5" spans="1:7" s="1" customFormat="1" ht="54" customHeight="1" x14ac:dyDescent="0.25">
      <c r="A5" s="2"/>
      <c r="C5" s="2"/>
      <c r="D5" s="393" t="s">
        <v>340</v>
      </c>
      <c r="E5" s="393"/>
      <c r="F5" s="393"/>
      <c r="G5" s="393"/>
    </row>
    <row r="6" spans="1:7" s="1" customFormat="1" ht="18.75" x14ac:dyDescent="0.25">
      <c r="A6" s="158"/>
      <c r="C6" s="2"/>
      <c r="E6" s="210"/>
      <c r="F6" s="117"/>
      <c r="G6" s="117"/>
    </row>
    <row r="7" spans="1:7" s="1" customFormat="1" ht="18.75" x14ac:dyDescent="0.25">
      <c r="A7" s="158"/>
      <c r="C7" s="2"/>
      <c r="E7" s="210"/>
      <c r="F7" s="117"/>
      <c r="G7" s="117"/>
    </row>
    <row r="8" spans="1:7" s="1" customFormat="1" ht="18.75" x14ac:dyDescent="0.25">
      <c r="A8" s="383" t="s">
        <v>1</v>
      </c>
      <c r="B8" s="383"/>
      <c r="C8" s="383"/>
      <c r="D8" s="383"/>
      <c r="E8" s="383"/>
      <c r="F8" s="383"/>
      <c r="G8" s="383"/>
    </row>
    <row r="9" spans="1:7" s="1" customFormat="1" ht="48" customHeight="1" x14ac:dyDescent="0.25">
      <c r="A9" s="400" t="s">
        <v>286</v>
      </c>
      <c r="B9" s="383"/>
      <c r="C9" s="383"/>
      <c r="D9" s="383"/>
      <c r="E9" s="383"/>
      <c r="F9" s="383"/>
      <c r="G9" s="383"/>
    </row>
    <row r="10" spans="1:7" s="1" customFormat="1" ht="17.25" x14ac:dyDescent="0.25">
      <c r="A10" s="183"/>
      <c r="B10" s="184"/>
      <c r="C10" s="185"/>
      <c r="D10" s="184"/>
      <c r="E10" s="211"/>
      <c r="F10" s="224"/>
      <c r="G10" s="224"/>
    </row>
    <row r="11" spans="1:7" s="1" customFormat="1" ht="17.25" customHeight="1" x14ac:dyDescent="0.25">
      <c r="A11" s="436" t="s">
        <v>14</v>
      </c>
      <c r="B11" s="436" t="s">
        <v>34</v>
      </c>
      <c r="C11" s="436" t="s">
        <v>2</v>
      </c>
      <c r="D11" s="436" t="s">
        <v>35</v>
      </c>
      <c r="E11" s="439" t="s">
        <v>36</v>
      </c>
      <c r="F11" s="440"/>
      <c r="G11" s="440"/>
    </row>
    <row r="12" spans="1:7" s="1" customFormat="1" ht="17.25" x14ac:dyDescent="0.25">
      <c r="A12" s="436"/>
      <c r="B12" s="436"/>
      <c r="C12" s="436"/>
      <c r="D12" s="436"/>
      <c r="E12" s="259">
        <v>2026</v>
      </c>
      <c r="F12" s="259">
        <v>2027</v>
      </c>
      <c r="G12" s="259">
        <v>2028</v>
      </c>
    </row>
    <row r="13" spans="1:7" s="1" customFormat="1" ht="17.25" x14ac:dyDescent="0.25">
      <c r="A13" s="259">
        <v>1</v>
      </c>
      <c r="B13" s="259">
        <v>2</v>
      </c>
      <c r="C13" s="259">
        <v>3</v>
      </c>
      <c r="D13" s="259">
        <v>4</v>
      </c>
      <c r="E13" s="259">
        <v>5</v>
      </c>
      <c r="F13" s="259">
        <v>6</v>
      </c>
      <c r="G13" s="259">
        <v>7</v>
      </c>
    </row>
    <row r="14" spans="1:7" s="1" customFormat="1" ht="42.75" customHeight="1" x14ac:dyDescent="0.25">
      <c r="A14" s="437" t="str">
        <f>'пр к ПП1'!A13:M13</f>
        <v>Подпрограммы 1 «Развитие транспортного комплекса, обеспечение сохранности и модернизации автомобильных дорог Туруханского муниципального округа»</v>
      </c>
      <c r="B14" s="438"/>
      <c r="C14" s="438"/>
      <c r="D14" s="438"/>
      <c r="E14" s="438"/>
      <c r="F14" s="438"/>
      <c r="G14" s="438"/>
    </row>
    <row r="15" spans="1:7" s="1" customFormat="1" ht="17.25" customHeight="1" x14ac:dyDescent="0.25">
      <c r="A15" s="441" t="str">
        <f>'[1]пр к ПП2'!A13:L13</f>
        <v>Цель. Удовлетворение потребности населения в перевозках.</v>
      </c>
      <c r="B15" s="442"/>
      <c r="C15" s="442"/>
      <c r="D15" s="442"/>
      <c r="E15" s="442"/>
      <c r="F15" s="442"/>
      <c r="G15" s="442"/>
    </row>
    <row r="16" spans="1:7" s="1" customFormat="1" ht="33" customHeight="1" x14ac:dyDescent="0.25">
      <c r="A16" s="441" t="s">
        <v>258</v>
      </c>
      <c r="B16" s="442"/>
      <c r="C16" s="442"/>
      <c r="D16" s="442"/>
      <c r="E16" s="442"/>
      <c r="F16" s="442"/>
      <c r="G16" s="442"/>
    </row>
    <row r="17" spans="1:8" ht="55.5" customHeight="1" x14ac:dyDescent="0.25">
      <c r="A17" s="259" t="s">
        <v>3</v>
      </c>
      <c r="B17" s="186" t="s">
        <v>287</v>
      </c>
      <c r="C17" s="259" t="s">
        <v>54</v>
      </c>
      <c r="D17" s="259" t="s">
        <v>55</v>
      </c>
      <c r="E17" s="266">
        <f>'пр к пасп'!D23</f>
        <v>7.47</v>
      </c>
      <c r="F17" s="266">
        <f>'пр к пасп'!E23</f>
        <v>7.47</v>
      </c>
      <c r="G17" s="266">
        <f>'пр к пасп'!F23</f>
        <v>7.47</v>
      </c>
      <c r="H17" s="117">
        <v>5</v>
      </c>
    </row>
    <row r="18" spans="1:8" ht="51.75" x14ac:dyDescent="0.25">
      <c r="A18" s="259" t="s">
        <v>59</v>
      </c>
      <c r="B18" s="186" t="s">
        <v>288</v>
      </c>
      <c r="C18" s="259" t="s">
        <v>56</v>
      </c>
      <c r="D18" s="259" t="s">
        <v>55</v>
      </c>
      <c r="E18" s="266">
        <f>'пр к пасп'!D24</f>
        <v>241.339</v>
      </c>
      <c r="F18" s="266">
        <f>'пр к пасп'!E24</f>
        <v>241.339</v>
      </c>
      <c r="G18" s="266">
        <f>'пр к пасп'!F24</f>
        <v>241.339</v>
      </c>
      <c r="H18" s="117">
        <v>115</v>
      </c>
    </row>
    <row r="19" spans="1:8" ht="39" customHeight="1" x14ac:dyDescent="0.25">
      <c r="A19" s="259" t="s">
        <v>61</v>
      </c>
      <c r="B19" s="186" t="s">
        <v>341</v>
      </c>
      <c r="C19" s="259" t="s">
        <v>56</v>
      </c>
      <c r="D19" s="259" t="s">
        <v>55</v>
      </c>
      <c r="E19" s="266">
        <f>'пр к пасп'!D30</f>
        <v>47.78</v>
      </c>
      <c r="F19" s="266">
        <f>'пр к пасп'!E30</f>
        <v>47.78</v>
      </c>
      <c r="G19" s="266">
        <f>'пр к пасп'!F30</f>
        <v>47.78</v>
      </c>
      <c r="H19" s="117">
        <v>40</v>
      </c>
    </row>
    <row r="20" spans="1:8" ht="17.25" customHeight="1" x14ac:dyDescent="0.25">
      <c r="A20" s="437" t="s">
        <v>289</v>
      </c>
      <c r="B20" s="438"/>
      <c r="C20" s="438"/>
      <c r="D20" s="438"/>
      <c r="E20" s="438"/>
      <c r="F20" s="438"/>
      <c r="G20" s="438"/>
    </row>
    <row r="21" spans="1:8" ht="51.75" x14ac:dyDescent="0.25">
      <c r="A21" s="259" t="s">
        <v>60</v>
      </c>
      <c r="B21" s="189" t="s">
        <v>227</v>
      </c>
      <c r="C21" s="259" t="s">
        <v>211</v>
      </c>
      <c r="D21" s="259" t="s">
        <v>55</v>
      </c>
      <c r="E21" s="282">
        <v>1</v>
      </c>
      <c r="F21" s="282">
        <v>1</v>
      </c>
      <c r="G21" s="282">
        <v>1</v>
      </c>
    </row>
    <row r="22" spans="1:8" ht="17.25" x14ac:dyDescent="0.25">
      <c r="A22" s="437" t="s">
        <v>342</v>
      </c>
      <c r="B22" s="438"/>
      <c r="C22" s="438"/>
      <c r="D22" s="438"/>
      <c r="E22" s="438"/>
      <c r="F22" s="438"/>
      <c r="G22" s="438"/>
    </row>
    <row r="23" spans="1:8" s="283" customFormat="1" ht="17.25" customHeight="1" x14ac:dyDescent="0.25">
      <c r="A23" s="434" t="s">
        <v>291</v>
      </c>
      <c r="B23" s="435"/>
      <c r="C23" s="435"/>
      <c r="D23" s="435"/>
      <c r="E23" s="435"/>
      <c r="F23" s="435"/>
      <c r="G23" s="435"/>
    </row>
    <row r="24" spans="1:8" ht="57" customHeight="1" x14ac:dyDescent="0.25">
      <c r="A24" s="187" t="s">
        <v>290</v>
      </c>
      <c r="B24" s="188" t="s">
        <v>226</v>
      </c>
      <c r="C24" s="187" t="s">
        <v>196</v>
      </c>
      <c r="D24" s="187" t="s">
        <v>197</v>
      </c>
      <c r="E24" s="187">
        <v>1</v>
      </c>
      <c r="F24" s="187">
        <v>1</v>
      </c>
      <c r="G24" s="187">
        <v>1</v>
      </c>
    </row>
    <row r="25" spans="1:8" s="283" customFormat="1" ht="17.25" customHeight="1" x14ac:dyDescent="0.25">
      <c r="A25" s="432" t="s">
        <v>298</v>
      </c>
      <c r="B25" s="433"/>
      <c r="C25" s="433"/>
      <c r="D25" s="433"/>
      <c r="E25" s="433"/>
      <c r="F25" s="433"/>
      <c r="G25" s="433"/>
    </row>
    <row r="26" spans="1:8" ht="34.5" x14ac:dyDescent="0.25">
      <c r="A26" s="187" t="s">
        <v>294</v>
      </c>
      <c r="B26" s="188" t="s">
        <v>237</v>
      </c>
      <c r="C26" s="187" t="s">
        <v>196</v>
      </c>
      <c r="D26" s="187" t="s">
        <v>197</v>
      </c>
      <c r="E26" s="187">
        <v>1</v>
      </c>
      <c r="F26" s="187">
        <v>1</v>
      </c>
      <c r="G26" s="187">
        <v>1</v>
      </c>
    </row>
    <row r="27" spans="1:8" s="283" customFormat="1" ht="18" x14ac:dyDescent="0.3">
      <c r="A27" s="443" t="s">
        <v>292</v>
      </c>
      <c r="B27" s="443"/>
      <c r="C27" s="443"/>
      <c r="D27" s="443"/>
      <c r="E27" s="443"/>
      <c r="F27" s="443"/>
      <c r="G27" s="443"/>
    </row>
    <row r="28" spans="1:8" ht="34.5" x14ac:dyDescent="0.25">
      <c r="A28" s="190" t="s">
        <v>295</v>
      </c>
      <c r="B28" s="206" t="s">
        <v>297</v>
      </c>
      <c r="C28" s="259" t="s">
        <v>211</v>
      </c>
      <c r="D28" s="187" t="s">
        <v>55</v>
      </c>
      <c r="E28" s="267">
        <v>0</v>
      </c>
      <c r="F28" s="268">
        <v>0</v>
      </c>
      <c r="G28" s="268">
        <v>0</v>
      </c>
    </row>
    <row r="29" spans="1:8" s="283" customFormat="1" ht="18" x14ac:dyDescent="0.3">
      <c r="A29" s="443" t="s">
        <v>293</v>
      </c>
      <c r="B29" s="443"/>
      <c r="C29" s="443"/>
      <c r="D29" s="443"/>
      <c r="E29" s="443"/>
      <c r="F29" s="443"/>
      <c r="G29" s="443"/>
    </row>
    <row r="30" spans="1:8" ht="51.75" x14ac:dyDescent="0.25">
      <c r="A30" s="190" t="s">
        <v>296</v>
      </c>
      <c r="B30" s="186" t="s">
        <v>304</v>
      </c>
      <c r="C30" s="259" t="s">
        <v>211</v>
      </c>
      <c r="D30" s="187" t="s">
        <v>55</v>
      </c>
      <c r="E30" s="187">
        <v>1</v>
      </c>
      <c r="F30" s="187">
        <v>1</v>
      </c>
      <c r="G30" s="187">
        <v>1</v>
      </c>
    </row>
  </sheetData>
  <mergeCells count="18">
    <mergeCell ref="A29:G29"/>
    <mergeCell ref="A27:G27"/>
    <mergeCell ref="A14:G14"/>
    <mergeCell ref="A22:G22"/>
    <mergeCell ref="F1:G1"/>
    <mergeCell ref="A25:G25"/>
    <mergeCell ref="A23:G23"/>
    <mergeCell ref="A8:G8"/>
    <mergeCell ref="A9:G9"/>
    <mergeCell ref="A11:A12"/>
    <mergeCell ref="B11:B12"/>
    <mergeCell ref="C11:C12"/>
    <mergeCell ref="D11:D12"/>
    <mergeCell ref="A20:G20"/>
    <mergeCell ref="E11:G11"/>
    <mergeCell ref="A15:G15"/>
    <mergeCell ref="A16:G16"/>
    <mergeCell ref="D5:G5"/>
  </mergeCells>
  <pageMargins left="0.78740157480314965" right="0.78740157480314965" top="1.1811023622047245" bottom="0.39370078740157483" header="0.31496062992125984" footer="0.31496062992125984"/>
  <pageSetup paperSize="9" scale="80" firstPageNumber="37" fitToHeight="0" orientation="landscape" useFirstPageNumber="1" r:id="rId1"/>
  <headerFooter>
    <oddHeader>&amp;C&amp;P</oddHeader>
  </headerFooter>
  <rowBreaks count="1" manualBreakCount="1">
    <brk id="2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N45"/>
  <sheetViews>
    <sheetView view="pageBreakPreview" topLeftCell="A4" zoomScale="70" zoomScaleNormal="70" zoomScaleSheetLayoutView="70" workbookViewId="0">
      <selection activeCell="A8" sqref="A8:M8"/>
    </sheetView>
  </sheetViews>
  <sheetFormatPr defaultColWidth="9" defaultRowHeight="18.75" outlineLevelRow="1" outlineLevelCol="1" x14ac:dyDescent="0.25"/>
  <cols>
    <col min="1" max="1" width="4.75" style="126" customWidth="1"/>
    <col min="2" max="2" width="68.125" style="127" customWidth="1"/>
    <col min="3" max="3" width="27.875" style="127" customWidth="1"/>
    <col min="4" max="5" width="7.375" style="127" customWidth="1"/>
    <col min="6" max="6" width="14.75" style="127" customWidth="1"/>
    <col min="7" max="7" width="5.75" style="127" customWidth="1"/>
    <col min="8" max="8" width="5.75" style="201" hidden="1" customWidth="1" outlineLevel="1"/>
    <col min="9" max="9" width="16" style="127" bestFit="1" customWidth="1" collapsed="1"/>
    <col min="10" max="10" width="16" style="127" bestFit="1" customWidth="1"/>
    <col min="11" max="11" width="16" style="127" customWidth="1"/>
    <col min="12" max="12" width="18.625" style="127" customWidth="1"/>
    <col min="13" max="13" width="46.375" style="127" customWidth="1"/>
    <col min="14" max="16384" width="9" style="127"/>
  </cols>
  <sheetData>
    <row r="1" spans="1:13" ht="63.75" hidden="1" customHeight="1" outlineLevel="1" x14ac:dyDescent="0.3">
      <c r="L1" s="444" t="s">
        <v>259</v>
      </c>
      <c r="M1" s="444"/>
    </row>
    <row r="2" spans="1:13" hidden="1" outlineLevel="1" x14ac:dyDescent="0.25"/>
    <row r="3" spans="1:13" hidden="1" outlineLevel="1" x14ac:dyDescent="0.25"/>
    <row r="4" spans="1:13" ht="63.75" customHeight="1" collapsed="1" x14ac:dyDescent="0.25">
      <c r="A4" s="113"/>
      <c r="B4" s="8"/>
      <c r="C4" s="8"/>
      <c r="D4" s="8"/>
      <c r="E4" s="8"/>
      <c r="F4" s="8"/>
      <c r="G4" s="8"/>
      <c r="L4" s="416" t="s">
        <v>302</v>
      </c>
      <c r="M4" s="416"/>
    </row>
    <row r="5" spans="1:13" x14ac:dyDescent="0.25">
      <c r="A5" s="113"/>
      <c r="B5" s="8"/>
      <c r="C5" s="8"/>
      <c r="D5" s="8"/>
      <c r="E5" s="8"/>
      <c r="F5" s="8"/>
      <c r="G5" s="8"/>
      <c r="L5" s="8"/>
      <c r="M5" s="8"/>
    </row>
    <row r="6" spans="1:13" x14ac:dyDescent="0.25">
      <c r="A6" s="113"/>
      <c r="B6" s="8"/>
      <c r="C6" s="8"/>
      <c r="D6" s="8"/>
      <c r="E6" s="8"/>
      <c r="F6" s="8"/>
      <c r="G6" s="8"/>
      <c r="L6" s="8"/>
      <c r="M6" s="8"/>
    </row>
    <row r="7" spans="1:13" x14ac:dyDescent="0.25">
      <c r="A7" s="417" t="s">
        <v>1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1:13" x14ac:dyDescent="0.25">
      <c r="A8" s="417" t="s">
        <v>301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3" ht="10.5" customHeight="1" x14ac:dyDescent="0.25">
      <c r="A9" s="113"/>
      <c r="B9" s="8"/>
      <c r="C9" s="8"/>
      <c r="D9" s="8"/>
      <c r="E9" s="8"/>
      <c r="F9" s="8"/>
      <c r="G9" s="8"/>
      <c r="L9" s="8"/>
      <c r="M9" s="8"/>
    </row>
    <row r="10" spans="1:13" s="133" customFormat="1" ht="24" customHeight="1" x14ac:dyDescent="0.25">
      <c r="A10" s="394" t="s">
        <v>14</v>
      </c>
      <c r="B10" s="394" t="s">
        <v>37</v>
      </c>
      <c r="C10" s="394" t="s">
        <v>20</v>
      </c>
      <c r="D10" s="394" t="s">
        <v>18</v>
      </c>
      <c r="E10" s="394"/>
      <c r="F10" s="394"/>
      <c r="G10" s="394"/>
      <c r="H10" s="220"/>
      <c r="I10" s="447" t="s">
        <v>38</v>
      </c>
      <c r="J10" s="447"/>
      <c r="K10" s="447"/>
      <c r="L10" s="447"/>
      <c r="M10" s="394" t="s">
        <v>39</v>
      </c>
    </row>
    <row r="11" spans="1:13" s="133" customFormat="1" ht="48.75" customHeight="1" x14ac:dyDescent="0.25">
      <c r="A11" s="394"/>
      <c r="B11" s="394"/>
      <c r="C11" s="394"/>
      <c r="D11" s="215" t="s">
        <v>20</v>
      </c>
      <c r="E11" s="215" t="s">
        <v>21</v>
      </c>
      <c r="F11" s="215" t="s">
        <v>22</v>
      </c>
      <c r="G11" s="215" t="s">
        <v>23</v>
      </c>
      <c r="H11" s="220"/>
      <c r="I11" s="269" t="s">
        <v>243</v>
      </c>
      <c r="J11" s="269">
        <f>I11+1</f>
        <v>2027</v>
      </c>
      <c r="K11" s="269">
        <f>J11+1</f>
        <v>2028</v>
      </c>
      <c r="L11" s="215" t="s">
        <v>40</v>
      </c>
      <c r="M11" s="394"/>
    </row>
    <row r="12" spans="1:13" s="339" customFormat="1" ht="12" x14ac:dyDescent="0.25">
      <c r="A12" s="337">
        <v>1</v>
      </c>
      <c r="B12" s="337">
        <v>2</v>
      </c>
      <c r="C12" s="337">
        <v>3</v>
      </c>
      <c r="D12" s="337">
        <v>4</v>
      </c>
      <c r="E12" s="337">
        <v>5</v>
      </c>
      <c r="F12" s="337">
        <v>6</v>
      </c>
      <c r="G12" s="337">
        <v>7</v>
      </c>
      <c r="H12" s="338"/>
      <c r="I12" s="337">
        <v>7</v>
      </c>
      <c r="J12" s="337">
        <v>8</v>
      </c>
      <c r="K12" s="337">
        <v>9</v>
      </c>
      <c r="L12" s="337">
        <v>10</v>
      </c>
      <c r="M12" s="337">
        <v>11</v>
      </c>
    </row>
    <row r="13" spans="1:13" s="133" customFormat="1" ht="15.75" x14ac:dyDescent="0.25">
      <c r="A13" s="421" t="s">
        <v>262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3"/>
    </row>
    <row r="14" spans="1:13" s="134" customFormat="1" ht="18.75" customHeight="1" x14ac:dyDescent="0.25">
      <c r="A14" s="426" t="s">
        <v>106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</row>
    <row r="15" spans="1:13" s="134" customFormat="1" ht="15.75" customHeight="1" x14ac:dyDescent="0.25">
      <c r="A15" s="426" t="s">
        <v>354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</row>
    <row r="16" spans="1:13" s="133" customFormat="1" ht="30.75" customHeight="1" x14ac:dyDescent="0.25">
      <c r="A16" s="403" t="s">
        <v>3</v>
      </c>
      <c r="B16" s="445" t="s">
        <v>230</v>
      </c>
      <c r="C16" s="364" t="s">
        <v>321</v>
      </c>
      <c r="D16" s="198">
        <v>281</v>
      </c>
      <c r="E16" s="198" t="s">
        <v>44</v>
      </c>
      <c r="F16" s="365" t="s">
        <v>113</v>
      </c>
      <c r="G16" s="198">
        <v>811</v>
      </c>
      <c r="H16" s="202">
        <v>1</v>
      </c>
      <c r="I16" s="366">
        <f>229183222/1000</f>
        <v>229183.22200000001</v>
      </c>
      <c r="J16" s="366">
        <f>I16</f>
        <v>229183.22200000001</v>
      </c>
      <c r="K16" s="366">
        <f>I16</f>
        <v>229183.22200000001</v>
      </c>
      <c r="L16" s="367">
        <f>SUM(I16:K16)</f>
        <v>687549.66599999997</v>
      </c>
      <c r="M16" s="401" t="s">
        <v>79</v>
      </c>
    </row>
    <row r="17" spans="1:14" s="133" customFormat="1" ht="15.75" x14ac:dyDescent="0.25">
      <c r="A17" s="405"/>
      <c r="B17" s="446"/>
      <c r="C17" s="368" t="s">
        <v>174</v>
      </c>
      <c r="D17" s="129" t="s">
        <v>25</v>
      </c>
      <c r="E17" s="129" t="s">
        <v>25</v>
      </c>
      <c r="F17" s="129" t="s">
        <v>25</v>
      </c>
      <c r="G17" s="129" t="s">
        <v>25</v>
      </c>
      <c r="H17" s="203"/>
      <c r="I17" s="369">
        <f>I16</f>
        <v>229183.22200000001</v>
      </c>
      <c r="J17" s="369">
        <f t="shared" ref="J17:L17" si="0">J16</f>
        <v>229183.22200000001</v>
      </c>
      <c r="K17" s="369">
        <f t="shared" si="0"/>
        <v>229183.22200000001</v>
      </c>
      <c r="L17" s="369">
        <f t="shared" si="0"/>
        <v>687549.66599999997</v>
      </c>
      <c r="M17" s="402"/>
      <c r="N17" s="322">
        <f>I17+J17+K17-L17</f>
        <v>0</v>
      </c>
    </row>
    <row r="18" spans="1:14" s="133" customFormat="1" ht="47.25" x14ac:dyDescent="0.25">
      <c r="A18" s="394" t="s">
        <v>59</v>
      </c>
      <c r="B18" s="364" t="s">
        <v>357</v>
      </c>
      <c r="C18" s="364" t="s">
        <v>321</v>
      </c>
      <c r="D18" s="198">
        <v>281</v>
      </c>
      <c r="E18" s="370" t="s">
        <v>44</v>
      </c>
      <c r="F18" s="371" t="s">
        <v>358</v>
      </c>
      <c r="G18" s="372">
        <v>811</v>
      </c>
      <c r="H18" s="202">
        <v>1</v>
      </c>
      <c r="I18" s="373">
        <f>4773940/1000</f>
        <v>4773.9399999999996</v>
      </c>
      <c r="J18" s="373">
        <f t="shared" ref="J18:K22" si="1">I18</f>
        <v>4773.9399999999996</v>
      </c>
      <c r="K18" s="373">
        <f t="shared" si="1"/>
        <v>4773.9399999999996</v>
      </c>
      <c r="L18" s="367">
        <f>SUM(I18:K18)</f>
        <v>14321.82</v>
      </c>
      <c r="M18" s="385" t="s">
        <v>307</v>
      </c>
    </row>
    <row r="19" spans="1:14" s="133" customFormat="1" ht="47.25" x14ac:dyDescent="0.25">
      <c r="A19" s="394"/>
      <c r="B19" s="364" t="s">
        <v>359</v>
      </c>
      <c r="C19" s="364" t="s">
        <v>321</v>
      </c>
      <c r="D19" s="198">
        <v>281</v>
      </c>
      <c r="E19" s="370" t="s">
        <v>44</v>
      </c>
      <c r="F19" s="374" t="s">
        <v>360</v>
      </c>
      <c r="G19" s="372">
        <v>811</v>
      </c>
      <c r="H19" s="202">
        <v>1</v>
      </c>
      <c r="I19" s="373">
        <f>2315793/1000</f>
        <v>2315.7930000000001</v>
      </c>
      <c r="J19" s="373">
        <f t="shared" si="1"/>
        <v>2315.7930000000001</v>
      </c>
      <c r="K19" s="373">
        <f t="shared" si="1"/>
        <v>2315.7930000000001</v>
      </c>
      <c r="L19" s="367">
        <f t="shared" ref="L19:L22" si="2">SUM(I19:K19)</f>
        <v>6947.3790000000008</v>
      </c>
      <c r="M19" s="385"/>
    </row>
    <row r="20" spans="1:14" s="133" customFormat="1" ht="47.25" x14ac:dyDescent="0.25">
      <c r="A20" s="394"/>
      <c r="B20" s="364" t="s">
        <v>361</v>
      </c>
      <c r="C20" s="364" t="s">
        <v>321</v>
      </c>
      <c r="D20" s="198">
        <v>281</v>
      </c>
      <c r="E20" s="370" t="s">
        <v>44</v>
      </c>
      <c r="F20" s="374" t="s">
        <v>362</v>
      </c>
      <c r="G20" s="372">
        <v>811</v>
      </c>
      <c r="H20" s="202">
        <v>1</v>
      </c>
      <c r="I20" s="373">
        <f>29491577/1000</f>
        <v>29491.577000000001</v>
      </c>
      <c r="J20" s="373">
        <f t="shared" si="1"/>
        <v>29491.577000000001</v>
      </c>
      <c r="K20" s="373">
        <f t="shared" si="1"/>
        <v>29491.577000000001</v>
      </c>
      <c r="L20" s="367">
        <f t="shared" si="2"/>
        <v>88474.731</v>
      </c>
      <c r="M20" s="385"/>
    </row>
    <row r="21" spans="1:14" s="133" customFormat="1" ht="48" customHeight="1" x14ac:dyDescent="0.25">
      <c r="A21" s="394"/>
      <c r="B21" s="364" t="s">
        <v>363</v>
      </c>
      <c r="C21" s="364" t="s">
        <v>321</v>
      </c>
      <c r="D21" s="198">
        <v>281</v>
      </c>
      <c r="E21" s="370" t="s">
        <v>44</v>
      </c>
      <c r="F21" s="374" t="s">
        <v>364</v>
      </c>
      <c r="G21" s="372">
        <v>811</v>
      </c>
      <c r="H21" s="202">
        <v>1</v>
      </c>
      <c r="I21" s="373">
        <f>912420/1000</f>
        <v>912.42</v>
      </c>
      <c r="J21" s="373">
        <f t="shared" si="1"/>
        <v>912.42</v>
      </c>
      <c r="K21" s="373">
        <f t="shared" si="1"/>
        <v>912.42</v>
      </c>
      <c r="L21" s="367">
        <f t="shared" si="2"/>
        <v>2737.2599999999998</v>
      </c>
      <c r="M21" s="385"/>
    </row>
    <row r="22" spans="1:14" s="133" customFormat="1" ht="35.25" customHeight="1" x14ac:dyDescent="0.25">
      <c r="A22" s="394"/>
      <c r="B22" s="445" t="s">
        <v>365</v>
      </c>
      <c r="C22" s="364" t="s">
        <v>321</v>
      </c>
      <c r="D22" s="198">
        <v>281</v>
      </c>
      <c r="E22" s="370" t="s">
        <v>44</v>
      </c>
      <c r="F22" s="374" t="s">
        <v>366</v>
      </c>
      <c r="G22" s="372">
        <v>811</v>
      </c>
      <c r="H22" s="202">
        <v>1</v>
      </c>
      <c r="I22" s="373">
        <f>23026825/1000</f>
        <v>23026.825000000001</v>
      </c>
      <c r="J22" s="373">
        <f t="shared" si="1"/>
        <v>23026.825000000001</v>
      </c>
      <c r="K22" s="373">
        <f t="shared" si="1"/>
        <v>23026.825000000001</v>
      </c>
      <c r="L22" s="367">
        <f t="shared" si="2"/>
        <v>69080.475000000006</v>
      </c>
      <c r="M22" s="385"/>
    </row>
    <row r="23" spans="1:14" s="133" customFormat="1" ht="15.75" x14ac:dyDescent="0.25">
      <c r="A23" s="394"/>
      <c r="B23" s="446"/>
      <c r="C23" s="60" t="s">
        <v>174</v>
      </c>
      <c r="D23" s="48" t="s">
        <v>25</v>
      </c>
      <c r="E23" s="48" t="s">
        <v>25</v>
      </c>
      <c r="F23" s="48" t="s">
        <v>25</v>
      </c>
      <c r="G23" s="48" t="s">
        <v>25</v>
      </c>
      <c r="H23" s="203"/>
      <c r="I23" s="61">
        <f>SUM(I18:I22)</f>
        <v>60520.554999999993</v>
      </c>
      <c r="J23" s="61">
        <f t="shared" ref="J23:L23" si="3">SUM(J18:J22)</f>
        <v>60520.554999999993</v>
      </c>
      <c r="K23" s="61">
        <f t="shared" si="3"/>
        <v>60520.554999999993</v>
      </c>
      <c r="L23" s="61">
        <f t="shared" si="3"/>
        <v>181561.66499999998</v>
      </c>
      <c r="M23" s="385"/>
      <c r="N23" s="322">
        <f>I23+J23+K23-L23</f>
        <v>0</v>
      </c>
    </row>
    <row r="24" spans="1:14" s="261" customFormat="1" ht="31.5" x14ac:dyDescent="0.25">
      <c r="A24" s="394" t="s">
        <v>61</v>
      </c>
      <c r="B24" s="448" t="s">
        <v>367</v>
      </c>
      <c r="C24" s="364" t="s">
        <v>321</v>
      </c>
      <c r="D24" s="198">
        <v>281</v>
      </c>
      <c r="E24" s="370" t="s">
        <v>44</v>
      </c>
      <c r="F24" s="374" t="s">
        <v>368</v>
      </c>
      <c r="G24" s="375" t="s">
        <v>214</v>
      </c>
      <c r="H24" s="202">
        <v>1</v>
      </c>
      <c r="I24" s="376">
        <f>36427579/1000</f>
        <v>36427.578999999998</v>
      </c>
      <c r="J24" s="376">
        <f>36427579/1000</f>
        <v>36427.578999999998</v>
      </c>
      <c r="K24" s="376">
        <f>36427579/1000</f>
        <v>36427.578999999998</v>
      </c>
      <c r="L24" s="367">
        <f>SUM(I24:K24)</f>
        <v>109282.73699999999</v>
      </c>
      <c r="M24" s="401" t="s">
        <v>306</v>
      </c>
    </row>
    <row r="25" spans="1:14" s="261" customFormat="1" ht="15.75" x14ac:dyDescent="0.25">
      <c r="A25" s="394"/>
      <c r="B25" s="449"/>
      <c r="C25" s="60" t="s">
        <v>174</v>
      </c>
      <c r="D25" s="48" t="s">
        <v>25</v>
      </c>
      <c r="E25" s="48" t="s">
        <v>25</v>
      </c>
      <c r="F25" s="48" t="s">
        <v>25</v>
      </c>
      <c r="G25" s="48"/>
      <c r="H25" s="203"/>
      <c r="I25" s="61">
        <f>I24</f>
        <v>36427.578999999998</v>
      </c>
      <c r="J25" s="61">
        <f t="shared" ref="J25:K25" si="4">J24</f>
        <v>36427.578999999998</v>
      </c>
      <c r="K25" s="61">
        <f t="shared" si="4"/>
        <v>36427.578999999998</v>
      </c>
      <c r="L25" s="61">
        <f>SUM(I25:K25)</f>
        <v>109282.73699999999</v>
      </c>
      <c r="M25" s="409"/>
      <c r="N25" s="323">
        <f>I25+J25+K25-L25</f>
        <v>0</v>
      </c>
    </row>
    <row r="26" spans="1:14" s="261" customFormat="1" ht="53.25" customHeight="1" x14ac:dyDescent="0.25">
      <c r="A26" s="394"/>
      <c r="B26" s="448" t="s">
        <v>369</v>
      </c>
      <c r="C26" s="364" t="s">
        <v>321</v>
      </c>
      <c r="D26" s="198">
        <v>281</v>
      </c>
      <c r="E26" s="370" t="s">
        <v>44</v>
      </c>
      <c r="F26" s="377" t="s">
        <v>368</v>
      </c>
      <c r="G26" s="375" t="s">
        <v>214</v>
      </c>
      <c r="H26" s="260"/>
      <c r="I26" s="376">
        <f>7300179/1000</f>
        <v>7300.1790000000001</v>
      </c>
      <c r="J26" s="376">
        <f>I26</f>
        <v>7300.1790000000001</v>
      </c>
      <c r="K26" s="376">
        <f>J26</f>
        <v>7300.1790000000001</v>
      </c>
      <c r="L26" s="376">
        <f>SUM(I26:K26)</f>
        <v>21900.537</v>
      </c>
      <c r="M26" s="409"/>
    </row>
    <row r="27" spans="1:14" s="261" customFormat="1" ht="15.75" x14ac:dyDescent="0.25">
      <c r="A27" s="394"/>
      <c r="B27" s="449"/>
      <c r="C27" s="60" t="s">
        <v>174</v>
      </c>
      <c r="D27" s="48" t="s">
        <v>25</v>
      </c>
      <c r="E27" s="48" t="s">
        <v>25</v>
      </c>
      <c r="F27" s="48" t="s">
        <v>25</v>
      </c>
      <c r="G27" s="48"/>
      <c r="H27" s="203"/>
      <c r="I27" s="61">
        <f>I26</f>
        <v>7300.1790000000001</v>
      </c>
      <c r="J27" s="61">
        <f t="shared" ref="J27:L27" si="5">J26</f>
        <v>7300.1790000000001</v>
      </c>
      <c r="K27" s="61">
        <f t="shared" si="5"/>
        <v>7300.1790000000001</v>
      </c>
      <c r="L27" s="61">
        <f t="shared" si="5"/>
        <v>21900.537</v>
      </c>
      <c r="M27" s="402"/>
      <c r="N27" s="323">
        <f>I27+J27+K27-L27</f>
        <v>0</v>
      </c>
    </row>
    <row r="28" spans="1:14" s="133" customFormat="1" ht="15.75" customHeight="1" x14ac:dyDescent="0.25">
      <c r="A28" s="450" t="s">
        <v>289</v>
      </c>
      <c r="B28" s="451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2"/>
    </row>
    <row r="29" spans="1:14" s="133" customFormat="1" ht="31.5" x14ac:dyDescent="0.25">
      <c r="A29" s="453" t="s">
        <v>60</v>
      </c>
      <c r="B29" s="445" t="s">
        <v>231</v>
      </c>
      <c r="C29" s="364" t="s">
        <v>321</v>
      </c>
      <c r="D29" s="198">
        <v>281</v>
      </c>
      <c r="E29" s="378" t="s">
        <v>45</v>
      </c>
      <c r="F29" s="378" t="s">
        <v>191</v>
      </c>
      <c r="G29" s="378" t="s">
        <v>193</v>
      </c>
      <c r="H29" s="379">
        <v>1</v>
      </c>
      <c r="I29" s="380">
        <v>4320</v>
      </c>
      <c r="J29" s="380">
        <v>4320</v>
      </c>
      <c r="K29" s="380">
        <v>4320</v>
      </c>
      <c r="L29" s="367">
        <f>SUM(I29:K29)</f>
        <v>12960</v>
      </c>
      <c r="M29" s="401" t="s">
        <v>305</v>
      </c>
    </row>
    <row r="30" spans="1:14" s="133" customFormat="1" ht="15.75" x14ac:dyDescent="0.25">
      <c r="A30" s="454"/>
      <c r="B30" s="446"/>
      <c r="C30" s="60" t="s">
        <v>174</v>
      </c>
      <c r="D30" s="48" t="s">
        <v>25</v>
      </c>
      <c r="E30" s="48" t="s">
        <v>25</v>
      </c>
      <c r="F30" s="48" t="s">
        <v>25</v>
      </c>
      <c r="G30" s="48" t="s">
        <v>25</v>
      </c>
      <c r="H30" s="221"/>
      <c r="I30" s="61">
        <f>SUM(I29)</f>
        <v>4320</v>
      </c>
      <c r="J30" s="61">
        <f t="shared" ref="J30:L30" si="6">SUM(J29)</f>
        <v>4320</v>
      </c>
      <c r="K30" s="61">
        <f t="shared" si="6"/>
        <v>4320</v>
      </c>
      <c r="L30" s="61">
        <f t="shared" si="6"/>
        <v>12960</v>
      </c>
      <c r="M30" s="402"/>
      <c r="N30" s="322">
        <f>I30+J30+K30-L30</f>
        <v>0</v>
      </c>
    </row>
    <row r="31" spans="1:14" s="261" customFormat="1" ht="15.75" x14ac:dyDescent="0.25">
      <c r="A31" s="421" t="str">
        <f>'+ пр к пасп ПП2'!A22:G22</f>
        <v>Отдельные мероприятия подпрограммы: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3"/>
    </row>
    <row r="32" spans="1:14" s="288" customFormat="1" ht="15" customHeight="1" x14ac:dyDescent="0.25">
      <c r="A32" s="455" t="s">
        <v>291</v>
      </c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7"/>
    </row>
    <row r="33" spans="1:14" s="133" customFormat="1" ht="31.5" x14ac:dyDescent="0.25">
      <c r="A33" s="453" t="s">
        <v>290</v>
      </c>
      <c r="B33" s="445" t="s">
        <v>225</v>
      </c>
      <c r="C33" s="364" t="s">
        <v>321</v>
      </c>
      <c r="D33" s="198">
        <v>281</v>
      </c>
      <c r="E33" s="381" t="s">
        <v>45</v>
      </c>
      <c r="F33" s="381" t="s">
        <v>205</v>
      </c>
      <c r="G33" s="378" t="s">
        <v>200</v>
      </c>
      <c r="H33" s="379">
        <v>1</v>
      </c>
      <c r="I33" s="380">
        <v>17500</v>
      </c>
      <c r="J33" s="380">
        <v>17500</v>
      </c>
      <c r="K33" s="380">
        <v>17500</v>
      </c>
      <c r="L33" s="367">
        <f>SUM(I33:K33)</f>
        <v>52500</v>
      </c>
      <c r="M33" s="401" t="s">
        <v>209</v>
      </c>
    </row>
    <row r="34" spans="1:14" s="133" customFormat="1" ht="15" customHeight="1" x14ac:dyDescent="0.25">
      <c r="A34" s="454"/>
      <c r="B34" s="446"/>
      <c r="C34" s="60" t="s">
        <v>174</v>
      </c>
      <c r="D34" s="48" t="s">
        <v>25</v>
      </c>
      <c r="E34" s="48" t="s">
        <v>25</v>
      </c>
      <c r="F34" s="48" t="s">
        <v>25</v>
      </c>
      <c r="G34" s="48" t="s">
        <v>25</v>
      </c>
      <c r="H34" s="221"/>
      <c r="I34" s="61">
        <f>SUM(I33)</f>
        <v>17500</v>
      </c>
      <c r="J34" s="61">
        <f t="shared" ref="J34:L34" si="7">SUM(J33)</f>
        <v>17500</v>
      </c>
      <c r="K34" s="61">
        <f t="shared" si="7"/>
        <v>17500</v>
      </c>
      <c r="L34" s="61">
        <f t="shared" si="7"/>
        <v>52500</v>
      </c>
      <c r="M34" s="402"/>
      <c r="N34" s="322">
        <f>I34+J34+K34-L34</f>
        <v>0</v>
      </c>
    </row>
    <row r="35" spans="1:14" s="288" customFormat="1" ht="15.75" customHeight="1" x14ac:dyDescent="0.25">
      <c r="A35" s="455" t="s">
        <v>298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7"/>
    </row>
    <row r="36" spans="1:14" s="133" customFormat="1" ht="31.5" x14ac:dyDescent="0.25">
      <c r="A36" s="453" t="s">
        <v>294</v>
      </c>
      <c r="B36" s="401" t="s">
        <v>244</v>
      </c>
      <c r="C36" s="281" t="s">
        <v>321</v>
      </c>
      <c r="D36" s="302">
        <v>281</v>
      </c>
      <c r="E36" s="84" t="s">
        <v>45</v>
      </c>
      <c r="F36" s="84" t="s">
        <v>206</v>
      </c>
      <c r="G36" s="84" t="s">
        <v>200</v>
      </c>
      <c r="H36" s="222"/>
      <c r="I36" s="106">
        <v>0</v>
      </c>
      <c r="J36" s="106">
        <v>0</v>
      </c>
      <c r="K36" s="106">
        <v>0</v>
      </c>
      <c r="L36" s="30">
        <f>SUM(I36:K36)</f>
        <v>0</v>
      </c>
      <c r="M36" s="401" t="s">
        <v>210</v>
      </c>
    </row>
    <row r="37" spans="1:14" s="133" customFormat="1" ht="15.75" x14ac:dyDescent="0.25">
      <c r="A37" s="454"/>
      <c r="B37" s="402"/>
      <c r="C37" s="60" t="s">
        <v>174</v>
      </c>
      <c r="D37" s="48" t="s">
        <v>25</v>
      </c>
      <c r="E37" s="48" t="s">
        <v>25</v>
      </c>
      <c r="F37" s="48" t="s">
        <v>25</v>
      </c>
      <c r="G37" s="48" t="s">
        <v>25</v>
      </c>
      <c r="H37" s="221"/>
      <c r="I37" s="61">
        <f t="shared" ref="I37:L37" si="8">SUM(I36)</f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402"/>
    </row>
    <row r="38" spans="1:14" s="292" customFormat="1" ht="15.75" customHeight="1" x14ac:dyDescent="0.25">
      <c r="A38" s="464" t="s">
        <v>299</v>
      </c>
      <c r="B38" s="465"/>
      <c r="C38" s="465"/>
      <c r="D38" s="465"/>
      <c r="E38" s="465"/>
      <c r="F38" s="465"/>
      <c r="G38" s="465"/>
      <c r="H38" s="465"/>
      <c r="I38" s="289"/>
      <c r="J38" s="289"/>
      <c r="K38" s="289"/>
      <c r="L38" s="290"/>
      <c r="M38" s="291"/>
    </row>
    <row r="39" spans="1:14" s="284" customFormat="1" ht="31.5" x14ac:dyDescent="0.25">
      <c r="A39" s="462" t="s">
        <v>295</v>
      </c>
      <c r="B39" s="458" t="s">
        <v>303</v>
      </c>
      <c r="C39" s="281" t="s">
        <v>321</v>
      </c>
      <c r="D39" s="302">
        <v>281</v>
      </c>
      <c r="E39" s="239" t="s">
        <v>45</v>
      </c>
      <c r="F39" s="239" t="s">
        <v>213</v>
      </c>
      <c r="G39" s="239" t="s">
        <v>214</v>
      </c>
      <c r="H39" s="285">
        <v>1</v>
      </c>
      <c r="I39" s="286">
        <v>0</v>
      </c>
      <c r="J39" s="286">
        <v>0</v>
      </c>
      <c r="K39" s="286">
        <v>0</v>
      </c>
      <c r="L39" s="287">
        <f>SUM(I39:J39)</f>
        <v>0</v>
      </c>
      <c r="M39" s="458" t="s">
        <v>343</v>
      </c>
    </row>
    <row r="40" spans="1:14" s="284" customFormat="1" ht="15.75" x14ac:dyDescent="0.25">
      <c r="A40" s="463"/>
      <c r="B40" s="459"/>
      <c r="C40" s="60" t="s">
        <v>174</v>
      </c>
      <c r="D40" s="48" t="s">
        <v>25</v>
      </c>
      <c r="E40" s="48" t="s">
        <v>25</v>
      </c>
      <c r="F40" s="48" t="s">
        <v>25</v>
      </c>
      <c r="G40" s="48" t="s">
        <v>25</v>
      </c>
      <c r="H40" s="221"/>
      <c r="I40" s="61">
        <f t="shared" ref="I40:L40" si="9">SUM(I39)</f>
        <v>0</v>
      </c>
      <c r="J40" s="61">
        <f t="shared" si="9"/>
        <v>0</v>
      </c>
      <c r="K40" s="61">
        <f t="shared" si="9"/>
        <v>0</v>
      </c>
      <c r="L40" s="61">
        <f t="shared" si="9"/>
        <v>0</v>
      </c>
      <c r="M40" s="459"/>
    </row>
    <row r="41" spans="1:14" s="288" customFormat="1" ht="15.75" x14ac:dyDescent="0.25">
      <c r="A41" s="460" t="s">
        <v>300</v>
      </c>
      <c r="B41" s="461"/>
      <c r="C41" s="461"/>
      <c r="D41" s="461"/>
      <c r="E41" s="461"/>
      <c r="F41" s="461"/>
      <c r="G41" s="461"/>
      <c r="H41" s="461"/>
      <c r="I41" s="293"/>
      <c r="J41" s="293"/>
      <c r="K41" s="293"/>
      <c r="L41" s="294"/>
      <c r="M41" s="295"/>
    </row>
    <row r="42" spans="1:14" s="133" customFormat="1" ht="30.75" customHeight="1" x14ac:dyDescent="0.25">
      <c r="A42" s="453" t="s">
        <v>296</v>
      </c>
      <c r="B42" s="448" t="str">
        <f>'+ пр к пасп ПП2'!B30</f>
        <v>Оказание услуг по авиационному обеспечению деятельности органов МСУ, комиссии по ЧС, оперативных, поисковых и рабочих групп</v>
      </c>
      <c r="C42" s="364" t="s">
        <v>321</v>
      </c>
      <c r="D42" s="198">
        <v>281</v>
      </c>
      <c r="E42" s="378" t="s">
        <v>44</v>
      </c>
      <c r="F42" s="378" t="s">
        <v>223</v>
      </c>
      <c r="G42" s="378" t="s">
        <v>193</v>
      </c>
      <c r="H42" s="379">
        <v>1</v>
      </c>
      <c r="I42" s="380">
        <v>11256.24</v>
      </c>
      <c r="J42" s="380">
        <v>11256.24</v>
      </c>
      <c r="K42" s="380">
        <v>11256.24</v>
      </c>
      <c r="L42" s="367">
        <f>SUM(I42:K42)</f>
        <v>33768.720000000001</v>
      </c>
      <c r="M42" s="401" t="s">
        <v>238</v>
      </c>
    </row>
    <row r="43" spans="1:14" s="133" customFormat="1" ht="15.75" x14ac:dyDescent="0.25">
      <c r="A43" s="454"/>
      <c r="B43" s="449"/>
      <c r="C43" s="60" t="s">
        <v>174</v>
      </c>
      <c r="D43" s="48" t="s">
        <v>25</v>
      </c>
      <c r="E43" s="48" t="s">
        <v>25</v>
      </c>
      <c r="F43" s="48" t="s">
        <v>25</v>
      </c>
      <c r="G43" s="48" t="s">
        <v>25</v>
      </c>
      <c r="H43" s="221"/>
      <c r="I43" s="61">
        <f>SUM(I42)</f>
        <v>11256.24</v>
      </c>
      <c r="J43" s="61">
        <f t="shared" ref="J43:L43" si="10">SUM(J42)</f>
        <v>11256.24</v>
      </c>
      <c r="K43" s="61">
        <f t="shared" si="10"/>
        <v>11256.24</v>
      </c>
      <c r="L43" s="61">
        <f t="shared" si="10"/>
        <v>33768.720000000001</v>
      </c>
      <c r="M43" s="402"/>
      <c r="N43" s="322">
        <f>I43+J43+K43-L43</f>
        <v>0</v>
      </c>
    </row>
    <row r="44" spans="1:14" s="182" customFormat="1" ht="19.5" customHeight="1" x14ac:dyDescent="0.25">
      <c r="A44" s="180"/>
      <c r="B44" s="181" t="s">
        <v>308</v>
      </c>
      <c r="C44" s="180" t="s">
        <v>25</v>
      </c>
      <c r="D44" s="180" t="s">
        <v>25</v>
      </c>
      <c r="E44" s="180" t="s">
        <v>25</v>
      </c>
      <c r="F44" s="180" t="s">
        <v>25</v>
      </c>
      <c r="G44" s="180" t="s">
        <v>25</v>
      </c>
      <c r="H44" s="204"/>
      <c r="I44" s="199">
        <f>I17+I23+I25+I27+I30+I34+I37+I40+I43</f>
        <v>366507.77500000002</v>
      </c>
      <c r="J44" s="199">
        <f t="shared" ref="J44:L44" si="11">J17+J23+J25+J27+J30+J34+J37+J40+J43</f>
        <v>366507.77500000002</v>
      </c>
      <c r="K44" s="199">
        <f t="shared" si="11"/>
        <v>366507.77500000002</v>
      </c>
      <c r="L44" s="199">
        <f t="shared" si="11"/>
        <v>1099523.325</v>
      </c>
      <c r="M44" s="180" t="s">
        <v>25</v>
      </c>
      <c r="N44" s="324">
        <f>I44+J44+K44-L44</f>
        <v>0</v>
      </c>
    </row>
    <row r="45" spans="1:14" x14ac:dyDescent="0.25">
      <c r="L45" s="8"/>
      <c r="M45" s="8"/>
    </row>
  </sheetData>
  <autoFilter ref="A10:M4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44">
    <mergeCell ref="A36:A37"/>
    <mergeCell ref="A35:M35"/>
    <mergeCell ref="B36:B37"/>
    <mergeCell ref="M36:M37"/>
    <mergeCell ref="A42:A43"/>
    <mergeCell ref="B42:B43"/>
    <mergeCell ref="M42:M43"/>
    <mergeCell ref="M39:M40"/>
    <mergeCell ref="A41:H41"/>
    <mergeCell ref="A39:A40"/>
    <mergeCell ref="A38:H38"/>
    <mergeCell ref="B39:B40"/>
    <mergeCell ref="B29:B30"/>
    <mergeCell ref="A29:A30"/>
    <mergeCell ref="A33:A34"/>
    <mergeCell ref="B33:B34"/>
    <mergeCell ref="M33:M34"/>
    <mergeCell ref="M29:M30"/>
    <mergeCell ref="A32:M32"/>
    <mergeCell ref="A31:M31"/>
    <mergeCell ref="A18:A23"/>
    <mergeCell ref="M18:M23"/>
    <mergeCell ref="B24:B25"/>
    <mergeCell ref="A28:M28"/>
    <mergeCell ref="A24:A27"/>
    <mergeCell ref="M24:M27"/>
    <mergeCell ref="B22:B23"/>
    <mergeCell ref="B26:B27"/>
    <mergeCell ref="L1:M1"/>
    <mergeCell ref="A16:A17"/>
    <mergeCell ref="B16:B17"/>
    <mergeCell ref="A15:M15"/>
    <mergeCell ref="L4:M4"/>
    <mergeCell ref="A7:M7"/>
    <mergeCell ref="A8:M8"/>
    <mergeCell ref="A13:M13"/>
    <mergeCell ref="C10:C11"/>
    <mergeCell ref="D10:G10"/>
    <mergeCell ref="I10:L10"/>
    <mergeCell ref="M10:M11"/>
    <mergeCell ref="A14:M14"/>
    <mergeCell ref="A10:A11"/>
    <mergeCell ref="B10:B11"/>
    <mergeCell ref="M16:M17"/>
  </mergeCells>
  <pageMargins left="0.78740157480314965" right="0.78740157480314965" top="1.1811023622047245" bottom="0.39370078740157483" header="0.31496062992125984" footer="0.31496062992125984"/>
  <pageSetup paperSize="9" scale="48" firstPageNumber="3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20"/>
  <sheetViews>
    <sheetView view="pageBreakPreview" topLeftCell="A4" zoomScale="85" zoomScaleNormal="85" zoomScaleSheetLayoutView="85" workbookViewId="0">
      <selection activeCell="E4" sqref="E4:G4"/>
    </sheetView>
  </sheetViews>
  <sheetFormatPr defaultColWidth="9" defaultRowHeight="15.75" outlineLevelRow="1" x14ac:dyDescent="0.25"/>
  <cols>
    <col min="1" max="1" width="5.375" style="116" customWidth="1"/>
    <col min="2" max="2" width="42.125" style="117" customWidth="1"/>
    <col min="3" max="3" width="11.5" style="116" customWidth="1"/>
    <col min="4" max="4" width="13.25" style="117" customWidth="1"/>
    <col min="5" max="7" width="14.625" style="117" customWidth="1"/>
    <col min="8" max="16384" width="9" style="117"/>
  </cols>
  <sheetData>
    <row r="1" spans="1:7" ht="78.75" hidden="1" customHeight="1" outlineLevel="1" x14ac:dyDescent="0.25">
      <c r="E1" s="387" t="s">
        <v>263</v>
      </c>
      <c r="F1" s="387"/>
      <c r="G1" s="387"/>
    </row>
    <row r="2" spans="1:7" hidden="1" outlineLevel="1" x14ac:dyDescent="0.25"/>
    <row r="3" spans="1:7" hidden="1" outlineLevel="1" x14ac:dyDescent="0.25"/>
    <row r="4" spans="1:7" ht="78.75" customHeight="1" collapsed="1" x14ac:dyDescent="0.25">
      <c r="E4" s="393" t="s">
        <v>309</v>
      </c>
      <c r="F4" s="393"/>
      <c r="G4" s="393"/>
    </row>
    <row r="5" spans="1:7" ht="18.75" x14ac:dyDescent="0.25">
      <c r="A5" s="118"/>
    </row>
    <row r="6" spans="1:7" ht="18.75" x14ac:dyDescent="0.25">
      <c r="A6" s="118"/>
    </row>
    <row r="7" spans="1:7" ht="18.75" x14ac:dyDescent="0.25">
      <c r="A7" s="383" t="s">
        <v>1</v>
      </c>
      <c r="B7" s="383"/>
      <c r="C7" s="383"/>
      <c r="D7" s="383"/>
      <c r="E7" s="383"/>
      <c r="F7" s="383"/>
      <c r="G7" s="383"/>
    </row>
    <row r="8" spans="1:7" ht="48" customHeight="1" x14ac:dyDescent="0.25">
      <c r="A8" s="400" t="s">
        <v>310</v>
      </c>
      <c r="B8" s="383"/>
      <c r="C8" s="383"/>
      <c r="D8" s="383"/>
      <c r="E8" s="383"/>
      <c r="F8" s="383"/>
      <c r="G8" s="383"/>
    </row>
    <row r="9" spans="1:7" ht="18.75" x14ac:dyDescent="0.25">
      <c r="A9" s="158"/>
      <c r="B9" s="1"/>
      <c r="C9" s="2"/>
      <c r="D9" s="1"/>
      <c r="E9" s="1"/>
      <c r="F9" s="1"/>
      <c r="G9" s="1"/>
    </row>
    <row r="10" spans="1:7" ht="15.75" customHeight="1" x14ac:dyDescent="0.25">
      <c r="A10" s="384" t="s">
        <v>14</v>
      </c>
      <c r="B10" s="384" t="s">
        <v>34</v>
      </c>
      <c r="C10" s="384" t="s">
        <v>2</v>
      </c>
      <c r="D10" s="384" t="s">
        <v>35</v>
      </c>
      <c r="E10" s="466" t="s">
        <v>36</v>
      </c>
      <c r="F10" s="466"/>
      <c r="G10" s="467"/>
    </row>
    <row r="11" spans="1:7" x14ac:dyDescent="0.25">
      <c r="A11" s="384"/>
      <c r="B11" s="384"/>
      <c r="C11" s="384"/>
      <c r="D11" s="384"/>
      <c r="E11" s="157">
        <v>2026</v>
      </c>
      <c r="F11" s="195">
        <v>2027</v>
      </c>
      <c r="G11" s="195">
        <v>2028</v>
      </c>
    </row>
    <row r="12" spans="1:7" x14ac:dyDescent="0.25">
      <c r="A12" s="157">
        <v>1</v>
      </c>
      <c r="B12" s="157">
        <v>2</v>
      </c>
      <c r="C12" s="157">
        <v>3</v>
      </c>
      <c r="D12" s="157">
        <v>4</v>
      </c>
      <c r="E12" s="157">
        <v>5</v>
      </c>
      <c r="F12" s="157">
        <v>6</v>
      </c>
      <c r="G12" s="157">
        <v>7</v>
      </c>
    </row>
    <row r="13" spans="1:7" x14ac:dyDescent="0.25">
      <c r="A13" s="395" t="s">
        <v>311</v>
      </c>
      <c r="B13" s="396"/>
      <c r="C13" s="396"/>
      <c r="D13" s="396"/>
      <c r="E13" s="396"/>
      <c r="F13" s="396"/>
      <c r="G13" s="397"/>
    </row>
    <row r="14" spans="1:7" x14ac:dyDescent="0.25">
      <c r="A14" s="399" t="str">
        <f>'+пр к ПП3'!A14:M14</f>
        <v>Цель. Снижение числа лиц, погибших в результате ДТП, и количества ДТП с пострадавшими.</v>
      </c>
      <c r="B14" s="399"/>
      <c r="C14" s="399"/>
      <c r="D14" s="399"/>
      <c r="E14" s="399"/>
      <c r="F14" s="399"/>
      <c r="G14" s="399"/>
    </row>
    <row r="15" spans="1:7" ht="36" customHeight="1" x14ac:dyDescent="0.25">
      <c r="A15" s="399" t="str">
        <f>'+пр к ПП3'!A15:M15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5" s="399"/>
      <c r="C15" s="399"/>
      <c r="D15" s="399"/>
      <c r="E15" s="399"/>
      <c r="F15" s="399"/>
      <c r="G15" s="399"/>
    </row>
    <row r="16" spans="1:7" s="135" customFormat="1" ht="49.5" customHeight="1" x14ac:dyDescent="0.25">
      <c r="A16" s="154" t="s">
        <v>3</v>
      </c>
      <c r="B16" s="155" t="s">
        <v>406</v>
      </c>
      <c r="C16" s="154" t="s">
        <v>91</v>
      </c>
      <c r="D16" s="154" t="s">
        <v>94</v>
      </c>
      <c r="E16" s="179">
        <f>E17/E18*100000</f>
        <v>7.9157761418507091</v>
      </c>
      <c r="F16" s="179">
        <f>F17/F18*100000</f>
        <v>7.9289565493181096</v>
      </c>
      <c r="G16" s="179">
        <f t="shared" ref="G16" si="0">G17/G18*100000</f>
        <v>7.9371378680847693</v>
      </c>
    </row>
    <row r="17" spans="1:7" s="136" customFormat="1" ht="31.5" hidden="1" outlineLevel="1" x14ac:dyDescent="0.25">
      <c r="A17" s="11"/>
      <c r="B17" s="170" t="s">
        <v>57</v>
      </c>
      <c r="C17" s="11"/>
      <c r="D17" s="11"/>
      <c r="E17" s="212">
        <f>'пр к пасп'!D34</f>
        <v>1</v>
      </c>
      <c r="F17" s="212">
        <f>'пр к пасп'!E34</f>
        <v>1</v>
      </c>
      <c r="G17" s="212">
        <f>'пр к пасп'!F34</f>
        <v>1</v>
      </c>
    </row>
    <row r="18" spans="1:7" s="136" customFormat="1" hidden="1" outlineLevel="1" x14ac:dyDescent="0.25">
      <c r="A18" s="11"/>
      <c r="B18" s="170" t="s">
        <v>81</v>
      </c>
      <c r="C18" s="11"/>
      <c r="D18" s="11"/>
      <c r="E18" s="194">
        <f>'пр к пасп'!D32</f>
        <v>12633</v>
      </c>
      <c r="F18" s="194">
        <f>'пр к пасп'!E32</f>
        <v>12612</v>
      </c>
      <c r="G18" s="194">
        <f>'пр к пасп'!F32</f>
        <v>12599</v>
      </c>
    </row>
    <row r="19" spans="1:7" s="137" customFormat="1" ht="31.5" collapsed="1" x14ac:dyDescent="0.25">
      <c r="A19" s="157" t="s">
        <v>61</v>
      </c>
      <c r="B19" s="161" t="s">
        <v>92</v>
      </c>
      <c r="C19" s="157" t="s">
        <v>93</v>
      </c>
      <c r="D19" s="157" t="s">
        <v>94</v>
      </c>
      <c r="E19" s="179">
        <v>0</v>
      </c>
      <c r="F19" s="179">
        <v>0</v>
      </c>
      <c r="G19" s="179">
        <v>0</v>
      </c>
    </row>
    <row r="20" spans="1:7" ht="63" hidden="1" x14ac:dyDescent="0.25">
      <c r="A20" s="157" t="s">
        <v>62</v>
      </c>
      <c r="B20" s="161" t="s">
        <v>344</v>
      </c>
      <c r="C20" s="157" t="s">
        <v>89</v>
      </c>
      <c r="D20" s="157" t="s">
        <v>55</v>
      </c>
      <c r="E20" s="172">
        <v>20</v>
      </c>
      <c r="F20" s="172">
        <v>30</v>
      </c>
      <c r="G20" s="172">
        <v>35</v>
      </c>
    </row>
  </sheetData>
  <mergeCells count="12">
    <mergeCell ref="E1:G1"/>
    <mergeCell ref="A14:G14"/>
    <mergeCell ref="A15:G15"/>
    <mergeCell ref="E4:G4"/>
    <mergeCell ref="A7:G7"/>
    <mergeCell ref="A8:G8"/>
    <mergeCell ref="A10:A11"/>
    <mergeCell ref="B10:B11"/>
    <mergeCell ref="C10:C11"/>
    <mergeCell ref="D10:D11"/>
    <mergeCell ref="E10:G10"/>
    <mergeCell ref="A13:G13"/>
  </mergeCells>
  <pageMargins left="0.78740157480314965" right="0.78740157480314965" top="1.1811023622047245" bottom="0.39370078740157483" header="0.31496062992125984" footer="0.31496062992125984"/>
  <pageSetup paperSize="9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27"/>
  <sheetViews>
    <sheetView view="pageBreakPreview" topLeftCell="A7" zoomScale="85" zoomScaleNormal="85" zoomScaleSheetLayoutView="85" workbookViewId="0">
      <selection activeCell="B21" sqref="B21:B22"/>
    </sheetView>
  </sheetViews>
  <sheetFormatPr defaultColWidth="9" defaultRowHeight="18.75" outlineLevelRow="2" outlineLevelCol="1" x14ac:dyDescent="0.25"/>
  <cols>
    <col min="1" max="1" width="4.75" style="126" customWidth="1"/>
    <col min="2" max="2" width="38.625" style="127" customWidth="1"/>
    <col min="3" max="3" width="34.75" style="127" customWidth="1"/>
    <col min="4" max="4" width="6.125" style="127" customWidth="1"/>
    <col min="5" max="5" width="6.875" style="127" customWidth="1"/>
    <col min="6" max="6" width="12" style="127" customWidth="1"/>
    <col min="7" max="7" width="5.75" style="127" customWidth="1"/>
    <col min="8" max="8" width="5.75" style="127" hidden="1" customWidth="1" outlineLevel="1"/>
    <col min="9" max="9" width="9.625" style="127" customWidth="1" collapsed="1"/>
    <col min="10" max="11" width="9.625" style="127" customWidth="1"/>
    <col min="12" max="12" width="17" style="127" customWidth="1"/>
    <col min="13" max="13" width="29.375" style="127" customWidth="1"/>
    <col min="14" max="16384" width="9" style="127"/>
  </cols>
  <sheetData>
    <row r="1" spans="1:13" ht="84" hidden="1" customHeight="1" outlineLevel="1" x14ac:dyDescent="0.3">
      <c r="L1" s="468" t="s">
        <v>264</v>
      </c>
      <c r="M1" s="468"/>
    </row>
    <row r="2" spans="1:13" hidden="1" outlineLevel="1" x14ac:dyDescent="0.25"/>
    <row r="3" spans="1:13" hidden="1" outlineLevel="1" x14ac:dyDescent="0.25"/>
    <row r="4" spans="1:13" ht="75" customHeight="1" collapsed="1" x14ac:dyDescent="0.25">
      <c r="A4" s="113"/>
      <c r="B4" s="8"/>
      <c r="C4" s="8"/>
      <c r="D4" s="8"/>
      <c r="E4" s="8"/>
      <c r="F4" s="8"/>
      <c r="G4" s="8"/>
      <c r="I4" s="8"/>
      <c r="J4" s="8"/>
      <c r="K4" s="8"/>
      <c r="L4" s="416" t="s">
        <v>312</v>
      </c>
      <c r="M4" s="416"/>
    </row>
    <row r="5" spans="1:13" x14ac:dyDescent="0.25">
      <c r="A5" s="113"/>
      <c r="B5" s="8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3" x14ac:dyDescent="0.25">
      <c r="A6" s="113"/>
      <c r="B6" s="8"/>
      <c r="C6" s="8"/>
      <c r="D6" s="8"/>
      <c r="E6" s="8"/>
      <c r="F6" s="8"/>
      <c r="G6" s="8"/>
      <c r="I6" s="8"/>
      <c r="J6" s="8"/>
      <c r="K6" s="8"/>
      <c r="L6" s="8"/>
      <c r="M6" s="8"/>
    </row>
    <row r="7" spans="1:13" x14ac:dyDescent="0.25">
      <c r="A7" s="417" t="s">
        <v>1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1:13" x14ac:dyDescent="0.25">
      <c r="A8" s="417" t="s">
        <v>313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3" x14ac:dyDescent="0.25">
      <c r="A9" s="113"/>
      <c r="B9" s="8"/>
      <c r="C9" s="8"/>
      <c r="D9" s="8"/>
      <c r="E9" s="8"/>
      <c r="F9" s="8"/>
      <c r="G9" s="8"/>
      <c r="I9" s="8"/>
      <c r="J9" s="8"/>
      <c r="K9" s="8"/>
      <c r="L9" s="8"/>
      <c r="M9" s="8"/>
    </row>
    <row r="10" spans="1:13" s="133" customFormat="1" ht="36.75" customHeight="1" x14ac:dyDescent="0.25">
      <c r="A10" s="394" t="s">
        <v>14</v>
      </c>
      <c r="B10" s="394" t="s">
        <v>37</v>
      </c>
      <c r="C10" s="394" t="s">
        <v>20</v>
      </c>
      <c r="D10" s="394" t="s">
        <v>18</v>
      </c>
      <c r="E10" s="394"/>
      <c r="F10" s="394"/>
      <c r="G10" s="394"/>
      <c r="H10" s="198"/>
      <c r="I10" s="394" t="s">
        <v>38</v>
      </c>
      <c r="J10" s="394"/>
      <c r="K10" s="394"/>
      <c r="L10" s="394"/>
      <c r="M10" s="394" t="s">
        <v>39</v>
      </c>
    </row>
    <row r="11" spans="1:13" s="133" customFormat="1" ht="73.5" customHeight="1" x14ac:dyDescent="0.25">
      <c r="A11" s="394"/>
      <c r="B11" s="394"/>
      <c r="C11" s="394"/>
      <c r="D11" s="111" t="s">
        <v>20</v>
      </c>
      <c r="E11" s="111" t="s">
        <v>21</v>
      </c>
      <c r="F11" s="111" t="s">
        <v>22</v>
      </c>
      <c r="G11" s="111" t="s">
        <v>23</v>
      </c>
      <c r="H11" s="198"/>
      <c r="I11" s="115">
        <v>2026</v>
      </c>
      <c r="J11" s="115">
        <f>I11+1</f>
        <v>2027</v>
      </c>
      <c r="K11" s="234">
        <f>J11+1</f>
        <v>2028</v>
      </c>
      <c r="L11" s="111" t="s">
        <v>40</v>
      </c>
      <c r="M11" s="394"/>
    </row>
    <row r="12" spans="1:13" s="336" customFormat="1" ht="12.75" x14ac:dyDescent="0.25">
      <c r="A12" s="335">
        <v>1</v>
      </c>
      <c r="B12" s="335">
        <v>2</v>
      </c>
      <c r="C12" s="335">
        <v>3</v>
      </c>
      <c r="D12" s="335">
        <v>4</v>
      </c>
      <c r="E12" s="335">
        <v>5</v>
      </c>
      <c r="F12" s="335">
        <v>6</v>
      </c>
      <c r="G12" s="335">
        <v>7</v>
      </c>
      <c r="H12" s="342"/>
      <c r="I12" s="335">
        <v>8</v>
      </c>
      <c r="J12" s="335">
        <v>9</v>
      </c>
      <c r="K12" s="335">
        <v>10</v>
      </c>
      <c r="L12" s="335">
        <v>11</v>
      </c>
      <c r="M12" s="335">
        <v>12</v>
      </c>
    </row>
    <row r="13" spans="1:13" s="133" customFormat="1" ht="15.75" x14ac:dyDescent="0.25">
      <c r="A13" s="421" t="str">
        <f>'+ пр к пасп ПП3'!A13:G13</f>
        <v>Подпрограмма 3 «Безопасность дорожного движения в Туруханском муниципальном округе»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3"/>
    </row>
    <row r="14" spans="1:13" s="134" customFormat="1" ht="18.75" customHeight="1" x14ac:dyDescent="0.25">
      <c r="A14" s="469" t="s">
        <v>109</v>
      </c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</row>
    <row r="15" spans="1:13" s="134" customFormat="1" ht="15.75" x14ac:dyDescent="0.25">
      <c r="A15" s="469" t="s">
        <v>110</v>
      </c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</row>
    <row r="16" spans="1:13" s="138" customFormat="1" ht="24" customHeight="1" outlineLevel="2" x14ac:dyDescent="0.25">
      <c r="A16" s="394" t="s">
        <v>3</v>
      </c>
      <c r="B16" s="471" t="s">
        <v>155</v>
      </c>
      <c r="C16" s="471" t="s">
        <v>314</v>
      </c>
      <c r="D16" s="470">
        <v>243</v>
      </c>
      <c r="E16" s="472" t="s">
        <v>142</v>
      </c>
      <c r="F16" s="114" t="s">
        <v>141</v>
      </c>
      <c r="G16" s="470">
        <v>244</v>
      </c>
      <c r="H16" s="205"/>
      <c r="I16" s="340">
        <v>0</v>
      </c>
      <c r="J16" s="340">
        <v>0</v>
      </c>
      <c r="K16" s="340">
        <v>0</v>
      </c>
      <c r="L16" s="340">
        <f t="shared" ref="L16:L22" si="0">SUM(I16:K16)</f>
        <v>0</v>
      </c>
      <c r="M16" s="385" t="s">
        <v>233</v>
      </c>
    </row>
    <row r="17" spans="1:13" s="138" customFormat="1" ht="21.75" customHeight="1" outlineLevel="2" x14ac:dyDescent="0.25">
      <c r="A17" s="394"/>
      <c r="B17" s="471"/>
      <c r="C17" s="471"/>
      <c r="D17" s="470"/>
      <c r="E17" s="472"/>
      <c r="F17" s="114" t="s">
        <v>143</v>
      </c>
      <c r="G17" s="470"/>
      <c r="H17" s="205"/>
      <c r="I17" s="340">
        <v>0</v>
      </c>
      <c r="J17" s="340">
        <v>0</v>
      </c>
      <c r="K17" s="340">
        <v>0</v>
      </c>
      <c r="L17" s="340">
        <f t="shared" si="0"/>
        <v>0</v>
      </c>
      <c r="M17" s="385"/>
    </row>
    <row r="18" spans="1:13" s="138" customFormat="1" ht="15.75" outlineLevel="2" x14ac:dyDescent="0.25">
      <c r="A18" s="394"/>
      <c r="B18" s="471"/>
      <c r="C18" s="60" t="s">
        <v>174</v>
      </c>
      <c r="D18" s="48" t="s">
        <v>25</v>
      </c>
      <c r="E18" s="48" t="s">
        <v>25</v>
      </c>
      <c r="F18" s="48" t="s">
        <v>25</v>
      </c>
      <c r="G18" s="48" t="s">
        <v>25</v>
      </c>
      <c r="H18" s="129"/>
      <c r="I18" s="341">
        <f t="shared" ref="I18:J18" si="1">I16+I17</f>
        <v>0</v>
      </c>
      <c r="J18" s="341">
        <f t="shared" si="1"/>
        <v>0</v>
      </c>
      <c r="K18" s="341">
        <f>SUM(K16:K17)</f>
        <v>0</v>
      </c>
      <c r="L18" s="341">
        <f t="shared" si="0"/>
        <v>0</v>
      </c>
      <c r="M18" s="385"/>
    </row>
    <row r="19" spans="1:13" s="238" customFormat="1" ht="57.75" customHeight="1" outlineLevel="1" x14ac:dyDescent="0.25">
      <c r="A19" s="394" t="s">
        <v>3</v>
      </c>
      <c r="B19" s="471" t="s">
        <v>189</v>
      </c>
      <c r="C19" s="230" t="s">
        <v>315</v>
      </c>
      <c r="D19" s="229">
        <v>247</v>
      </c>
      <c r="E19" s="231" t="s">
        <v>43</v>
      </c>
      <c r="F19" s="231" t="s">
        <v>204</v>
      </c>
      <c r="G19" s="330">
        <v>244</v>
      </c>
      <c r="H19" s="270"/>
      <c r="I19" s="340">
        <v>0</v>
      </c>
      <c r="J19" s="340">
        <v>0</v>
      </c>
      <c r="K19" s="340">
        <v>0</v>
      </c>
      <c r="L19" s="340">
        <f t="shared" si="0"/>
        <v>0</v>
      </c>
      <c r="M19" s="385" t="s">
        <v>234</v>
      </c>
    </row>
    <row r="20" spans="1:13" s="238" customFormat="1" ht="15.75" outlineLevel="1" x14ac:dyDescent="0.25">
      <c r="A20" s="394"/>
      <c r="B20" s="471"/>
      <c r="C20" s="60" t="s">
        <v>174</v>
      </c>
      <c r="D20" s="48" t="s">
        <v>25</v>
      </c>
      <c r="E20" s="48" t="s">
        <v>25</v>
      </c>
      <c r="F20" s="48" t="s">
        <v>25</v>
      </c>
      <c r="G20" s="48" t="s">
        <v>25</v>
      </c>
      <c r="H20" s="48"/>
      <c r="I20" s="341">
        <f t="shared" ref="I20:J20" si="2">I19</f>
        <v>0</v>
      </c>
      <c r="J20" s="341">
        <f t="shared" si="2"/>
        <v>0</v>
      </c>
      <c r="K20" s="341">
        <f>SUM(K19)</f>
        <v>0</v>
      </c>
      <c r="L20" s="341">
        <f t="shared" si="0"/>
        <v>0</v>
      </c>
      <c r="M20" s="385"/>
    </row>
    <row r="21" spans="1:13" s="238" customFormat="1" ht="53.25" customHeight="1" outlineLevel="1" x14ac:dyDescent="0.25">
      <c r="A21" s="394" t="s">
        <v>59</v>
      </c>
      <c r="B21" s="471" t="s">
        <v>407</v>
      </c>
      <c r="C21" s="230" t="s">
        <v>316</v>
      </c>
      <c r="D21" s="229">
        <v>244</v>
      </c>
      <c r="E21" s="231" t="s">
        <v>43</v>
      </c>
      <c r="F21" s="231" t="s">
        <v>169</v>
      </c>
      <c r="G21" s="229">
        <v>244</v>
      </c>
      <c r="H21" s="229"/>
      <c r="I21" s="340">
        <v>0</v>
      </c>
      <c r="J21" s="340">
        <v>0</v>
      </c>
      <c r="K21" s="340">
        <v>0</v>
      </c>
      <c r="L21" s="340">
        <f t="shared" si="0"/>
        <v>0</v>
      </c>
      <c r="M21" s="401" t="s">
        <v>235</v>
      </c>
    </row>
    <row r="22" spans="1:13" s="238" customFormat="1" ht="15.75" outlineLevel="1" x14ac:dyDescent="0.25">
      <c r="A22" s="394"/>
      <c r="B22" s="471"/>
      <c r="C22" s="60" t="s">
        <v>174</v>
      </c>
      <c r="D22" s="48" t="s">
        <v>25</v>
      </c>
      <c r="E22" s="48" t="s">
        <v>25</v>
      </c>
      <c r="F22" s="48" t="s">
        <v>25</v>
      </c>
      <c r="G22" s="48" t="s">
        <v>25</v>
      </c>
      <c r="H22" s="48"/>
      <c r="I22" s="341">
        <f t="shared" ref="I22:J24" si="3">I21</f>
        <v>0</v>
      </c>
      <c r="J22" s="341">
        <f t="shared" si="3"/>
        <v>0</v>
      </c>
      <c r="K22" s="341">
        <f>SUM(K21)</f>
        <v>0</v>
      </c>
      <c r="L22" s="341">
        <f t="shared" si="0"/>
        <v>0</v>
      </c>
      <c r="M22" s="402"/>
    </row>
    <row r="23" spans="1:13" s="238" customFormat="1" ht="47.25" customHeight="1" outlineLevel="1" x14ac:dyDescent="0.25">
      <c r="A23" s="475" t="s">
        <v>61</v>
      </c>
      <c r="B23" s="473" t="s">
        <v>192</v>
      </c>
      <c r="C23" s="152" t="s">
        <v>315</v>
      </c>
      <c r="D23" s="239" t="s">
        <v>193</v>
      </c>
      <c r="E23" s="239" t="s">
        <v>43</v>
      </c>
      <c r="F23" s="239" t="s">
        <v>194</v>
      </c>
      <c r="G23" s="239" t="s">
        <v>195</v>
      </c>
      <c r="H23" s="239"/>
      <c r="I23" s="340">
        <v>0</v>
      </c>
      <c r="J23" s="340">
        <v>0</v>
      </c>
      <c r="K23" s="340">
        <v>0</v>
      </c>
      <c r="L23" s="340">
        <f>I23+J23+K23</f>
        <v>0</v>
      </c>
      <c r="M23" s="401" t="s">
        <v>192</v>
      </c>
    </row>
    <row r="24" spans="1:13" s="238" customFormat="1" ht="15.75" outlineLevel="1" x14ac:dyDescent="0.25">
      <c r="A24" s="476"/>
      <c r="B24" s="474"/>
      <c r="C24" s="60" t="s">
        <v>174</v>
      </c>
      <c r="D24" s="48" t="s">
        <v>25</v>
      </c>
      <c r="E24" s="48" t="s">
        <v>25</v>
      </c>
      <c r="F24" s="48" t="s">
        <v>25</v>
      </c>
      <c r="G24" s="48" t="s">
        <v>25</v>
      </c>
      <c r="H24" s="48"/>
      <c r="I24" s="341">
        <f t="shared" si="3"/>
        <v>0</v>
      </c>
      <c r="J24" s="341">
        <f t="shared" si="3"/>
        <v>0</v>
      </c>
      <c r="K24" s="341">
        <f>SUM(K23)</f>
        <v>0</v>
      </c>
      <c r="L24" s="341">
        <f>SUM(I24:K24)</f>
        <v>0</v>
      </c>
      <c r="M24" s="402"/>
    </row>
    <row r="25" spans="1:13" s="238" customFormat="1" ht="54.75" customHeight="1" outlineLevel="1" x14ac:dyDescent="0.25">
      <c r="A25" s="475" t="s">
        <v>61</v>
      </c>
      <c r="B25" s="473" t="s">
        <v>345</v>
      </c>
      <c r="C25" s="152" t="s">
        <v>315</v>
      </c>
      <c r="D25" s="239" t="s">
        <v>195</v>
      </c>
      <c r="E25" s="239" t="s">
        <v>45</v>
      </c>
      <c r="F25" s="239" t="s">
        <v>224</v>
      </c>
      <c r="G25" s="239" t="s">
        <v>195</v>
      </c>
      <c r="H25" s="239" t="s">
        <v>222</v>
      </c>
      <c r="I25" s="340">
        <v>0</v>
      </c>
      <c r="J25" s="340">
        <v>0</v>
      </c>
      <c r="K25" s="340">
        <v>0</v>
      </c>
      <c r="L25" s="340">
        <f>I25+J25+K25</f>
        <v>0</v>
      </c>
      <c r="M25" s="401" t="s">
        <v>346</v>
      </c>
    </row>
    <row r="26" spans="1:13" s="238" customFormat="1" ht="15.75" outlineLevel="1" x14ac:dyDescent="0.25">
      <c r="A26" s="476"/>
      <c r="B26" s="474"/>
      <c r="C26" s="60" t="s">
        <v>174</v>
      </c>
      <c r="D26" s="48" t="s">
        <v>25</v>
      </c>
      <c r="E26" s="48" t="s">
        <v>25</v>
      </c>
      <c r="F26" s="48" t="s">
        <v>25</v>
      </c>
      <c r="G26" s="48" t="s">
        <v>25</v>
      </c>
      <c r="H26" s="48"/>
      <c r="I26" s="80">
        <f t="shared" ref="I26:J26" si="4">I25</f>
        <v>0</v>
      </c>
      <c r="J26" s="80">
        <f t="shared" si="4"/>
        <v>0</v>
      </c>
      <c r="K26" s="80">
        <f>SUM(K25)</f>
        <v>0</v>
      </c>
      <c r="L26" s="80">
        <f>SUM(I26:K26)</f>
        <v>0</v>
      </c>
      <c r="M26" s="402"/>
    </row>
    <row r="27" spans="1:13" x14ac:dyDescent="0.25">
      <c r="A27" s="45"/>
      <c r="B27" s="46" t="s">
        <v>78</v>
      </c>
      <c r="C27" s="45" t="s">
        <v>25</v>
      </c>
      <c r="D27" s="45" t="s">
        <v>25</v>
      </c>
      <c r="E27" s="45" t="s">
        <v>25</v>
      </c>
      <c r="F27" s="45" t="s">
        <v>25</v>
      </c>
      <c r="G27" s="45" t="s">
        <v>25</v>
      </c>
      <c r="H27" s="200"/>
      <c r="I27" s="153">
        <f>I18+I20+I22+I24</f>
        <v>0</v>
      </c>
      <c r="J27" s="153">
        <f>J18+J20+J22+J24</f>
        <v>0</v>
      </c>
      <c r="K27" s="153">
        <f>SUM(K26+K24+K22+K20+K18)</f>
        <v>0</v>
      </c>
      <c r="L27" s="153">
        <f>SUM(I27:K27)</f>
        <v>0</v>
      </c>
      <c r="M27" s="45" t="s">
        <v>25</v>
      </c>
    </row>
  </sheetData>
  <autoFilter ref="A10:M1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32">
    <mergeCell ref="B23:B24"/>
    <mergeCell ref="A23:A24"/>
    <mergeCell ref="A21:A22"/>
    <mergeCell ref="B21:B22"/>
    <mergeCell ref="M25:M26"/>
    <mergeCell ref="A25:A26"/>
    <mergeCell ref="M23:M24"/>
    <mergeCell ref="M21:M22"/>
    <mergeCell ref="B25:B26"/>
    <mergeCell ref="G16:G17"/>
    <mergeCell ref="M16:M18"/>
    <mergeCell ref="A19:A20"/>
    <mergeCell ref="B19:B20"/>
    <mergeCell ref="M19:M20"/>
    <mergeCell ref="C16:C17"/>
    <mergeCell ref="B16:B18"/>
    <mergeCell ref="A16:A18"/>
    <mergeCell ref="D16:D17"/>
    <mergeCell ref="E16:E17"/>
    <mergeCell ref="L1:M1"/>
    <mergeCell ref="A15:M15"/>
    <mergeCell ref="A14:M14"/>
    <mergeCell ref="L4:M4"/>
    <mergeCell ref="A7:M7"/>
    <mergeCell ref="A8:M8"/>
    <mergeCell ref="A10:A11"/>
    <mergeCell ref="B10:B11"/>
    <mergeCell ref="C10:C11"/>
    <mergeCell ref="D10:G10"/>
    <mergeCell ref="I10:L10"/>
    <mergeCell ref="M10:M11"/>
    <mergeCell ref="A13:M13"/>
  </mergeCells>
  <pageMargins left="0.78740157480314965" right="0.78740157480314965" top="1.1811023622047245" bottom="0.39370078740157483" header="0.31496062992125984" footer="0.31496062992125984"/>
  <pageSetup paperSize="9" scale="64" firstPageNumber="41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3"/>
  <sheetViews>
    <sheetView view="pageBreakPreview" zoomScale="70" zoomScaleNormal="70" zoomScaleSheetLayoutView="70" workbookViewId="0">
      <selection activeCell="A10" sqref="A10:G10"/>
    </sheetView>
  </sheetViews>
  <sheetFormatPr defaultColWidth="9" defaultRowHeight="15.75" x14ac:dyDescent="0.25"/>
  <cols>
    <col min="1" max="1" width="5.375" style="116" customWidth="1"/>
    <col min="2" max="2" width="70.375" style="117" customWidth="1"/>
    <col min="3" max="3" width="11.5" style="116" customWidth="1"/>
    <col min="4" max="4" width="14.875" style="117" customWidth="1"/>
    <col min="5" max="7" width="12" style="117" customWidth="1"/>
    <col min="8" max="16384" width="9" style="117"/>
  </cols>
  <sheetData>
    <row r="1" spans="1:7" ht="92.25" customHeight="1" x14ac:dyDescent="0.25">
      <c r="A1" s="2"/>
      <c r="B1" s="1"/>
      <c r="C1" s="2"/>
      <c r="D1" s="1"/>
      <c r="E1" s="393" t="s">
        <v>408</v>
      </c>
      <c r="F1" s="393"/>
      <c r="G1" s="393"/>
    </row>
    <row r="2" spans="1:7" ht="18.75" x14ac:dyDescent="0.25">
      <c r="A2" s="158"/>
      <c r="B2" s="1"/>
      <c r="C2" s="2"/>
      <c r="D2" s="1"/>
      <c r="E2" s="1"/>
      <c r="F2" s="1"/>
      <c r="G2" s="1"/>
    </row>
    <row r="3" spans="1:7" ht="18.75" x14ac:dyDescent="0.25">
      <c r="A3" s="158"/>
      <c r="B3" s="1"/>
      <c r="C3" s="2"/>
      <c r="D3" s="1"/>
      <c r="E3" s="1"/>
      <c r="F3" s="1"/>
      <c r="G3" s="1"/>
    </row>
    <row r="4" spans="1:7" ht="18.75" x14ac:dyDescent="0.25">
      <c r="A4" s="383" t="s">
        <v>1</v>
      </c>
      <c r="B4" s="383"/>
      <c r="C4" s="383"/>
      <c r="D4" s="383"/>
      <c r="E4" s="383"/>
      <c r="F4" s="383"/>
      <c r="G4" s="383"/>
    </row>
    <row r="5" spans="1:7" ht="48" customHeight="1" x14ac:dyDescent="0.25">
      <c r="A5" s="400" t="s">
        <v>317</v>
      </c>
      <c r="B5" s="383"/>
      <c r="C5" s="383"/>
      <c r="D5" s="383"/>
      <c r="E5" s="383"/>
      <c r="F5" s="383"/>
      <c r="G5" s="383"/>
    </row>
    <row r="6" spans="1:7" ht="18.75" x14ac:dyDescent="0.25">
      <c r="A6" s="158"/>
      <c r="B6" s="1"/>
      <c r="C6" s="2"/>
      <c r="D6" s="1"/>
      <c r="E6" s="1"/>
      <c r="F6" s="1"/>
      <c r="G6" s="1"/>
    </row>
    <row r="7" spans="1:7" x14ac:dyDescent="0.25">
      <c r="A7" s="384" t="s">
        <v>14</v>
      </c>
      <c r="B7" s="384" t="s">
        <v>34</v>
      </c>
      <c r="C7" s="384" t="s">
        <v>2</v>
      </c>
      <c r="D7" s="384" t="s">
        <v>35</v>
      </c>
      <c r="E7" s="384"/>
      <c r="F7" s="384"/>
      <c r="G7" s="384"/>
    </row>
    <row r="8" spans="1:7" x14ac:dyDescent="0.25">
      <c r="A8" s="384"/>
      <c r="B8" s="384"/>
      <c r="C8" s="384"/>
      <c r="D8" s="384"/>
      <c r="E8" s="157">
        <v>2026</v>
      </c>
      <c r="F8" s="208">
        <f>E8+1</f>
        <v>2027</v>
      </c>
      <c r="G8" s="157">
        <f>F8+1</f>
        <v>2028</v>
      </c>
    </row>
    <row r="9" spans="1:7" x14ac:dyDescent="0.25">
      <c r="A9" s="157">
        <v>1</v>
      </c>
      <c r="B9" s="157">
        <v>2</v>
      </c>
      <c r="C9" s="157">
        <v>3</v>
      </c>
      <c r="D9" s="157">
        <v>4</v>
      </c>
      <c r="E9" s="157">
        <v>5</v>
      </c>
      <c r="F9" s="208">
        <v>6</v>
      </c>
      <c r="G9" s="157">
        <v>7</v>
      </c>
    </row>
    <row r="10" spans="1:7" x14ac:dyDescent="0.25">
      <c r="A10" s="395" t="str">
        <f>'+пр к ПП4'!A13:M13</f>
        <v>Подпрограмма 4 «Развитие связи на территории Туруханского муниципального округа»</v>
      </c>
      <c r="B10" s="396"/>
      <c r="C10" s="396"/>
      <c r="D10" s="396"/>
      <c r="E10" s="396"/>
      <c r="F10" s="396"/>
      <c r="G10" s="397"/>
    </row>
    <row r="11" spans="1:7" x14ac:dyDescent="0.25">
      <c r="A11" s="399" t="str">
        <f>'+пр к ПП4'!A14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1" s="399"/>
      <c r="C11" s="399"/>
      <c r="D11" s="399"/>
      <c r="E11" s="399"/>
      <c r="F11" s="399"/>
      <c r="G11" s="399"/>
    </row>
    <row r="12" spans="1:7" x14ac:dyDescent="0.25">
      <c r="A12" s="399" t="str">
        <f>'+пр к ПП4'!A15</f>
        <v>Задача 1. Создание условий, обеспечивающих доступность внутризоновой, междугородней и международной связи.</v>
      </c>
      <c r="B12" s="399"/>
      <c r="C12" s="399"/>
      <c r="D12" s="399"/>
      <c r="E12" s="399"/>
      <c r="F12" s="399"/>
      <c r="G12" s="399"/>
    </row>
    <row r="13" spans="1:7" s="139" customFormat="1" ht="82.5" customHeight="1" x14ac:dyDescent="0.25">
      <c r="A13" s="157" t="s">
        <v>3</v>
      </c>
      <c r="B13" s="160" t="s">
        <v>159</v>
      </c>
      <c r="C13" s="157" t="s">
        <v>51</v>
      </c>
      <c r="D13" s="157" t="s">
        <v>139</v>
      </c>
      <c r="E13" s="176">
        <v>1</v>
      </c>
      <c r="F13" s="176">
        <v>1</v>
      </c>
      <c r="G13" s="176">
        <v>1</v>
      </c>
    </row>
  </sheetData>
  <mergeCells count="11">
    <mergeCell ref="A11:G11"/>
    <mergeCell ref="A12:G12"/>
    <mergeCell ref="E1:G1"/>
    <mergeCell ref="A4:G4"/>
    <mergeCell ref="A5:G5"/>
    <mergeCell ref="A7:A8"/>
    <mergeCell ref="B7:B8"/>
    <mergeCell ref="C7:C8"/>
    <mergeCell ref="D7:D8"/>
    <mergeCell ref="E7:G7"/>
    <mergeCell ref="A10:G10"/>
  </mergeCells>
  <pageMargins left="0.78740157480314965" right="0.78740157480314965" top="1.1811023622047245" bottom="0.39370078740157483" header="0.31496062992125984" footer="0.31496062992125984"/>
  <pageSetup paperSize="9" scale="86" firstPageNumber="42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25"/>
  <sheetViews>
    <sheetView view="pageBreakPreview" topLeftCell="A11" zoomScale="85" zoomScaleSheetLayoutView="85" workbookViewId="0">
      <selection activeCell="C16" sqref="C16:L16"/>
    </sheetView>
  </sheetViews>
  <sheetFormatPr defaultColWidth="9" defaultRowHeight="18.75" outlineLevelRow="1" outlineLevelCol="1" x14ac:dyDescent="0.25"/>
  <cols>
    <col min="1" max="1" width="4.75" style="127" customWidth="1"/>
    <col min="2" max="2" width="49.625" style="127" customWidth="1"/>
    <col min="3" max="3" width="24.625" style="127" customWidth="1"/>
    <col min="4" max="4" width="5.375" style="127" customWidth="1"/>
    <col min="5" max="5" width="5.25" style="127" customWidth="1"/>
    <col min="6" max="6" width="11.625" style="127" customWidth="1"/>
    <col min="7" max="7" width="4.625" style="127" customWidth="1"/>
    <col min="8" max="8" width="4.25" style="127" hidden="1" customWidth="1" outlineLevel="1"/>
    <col min="9" max="9" width="13.5" style="127" customWidth="1" collapsed="1"/>
    <col min="10" max="10" width="13" style="127" customWidth="1"/>
    <col min="11" max="11" width="13.25" style="127" customWidth="1"/>
    <col min="12" max="12" width="12.625" style="127" customWidth="1"/>
    <col min="13" max="13" width="20.75" style="127" customWidth="1"/>
    <col min="14" max="16" width="9" style="127"/>
    <col min="17" max="17" width="29.125" style="127" customWidth="1"/>
    <col min="18" max="16384" width="9" style="127"/>
  </cols>
  <sheetData>
    <row r="1" spans="1:13" ht="84" hidden="1" customHeight="1" outlineLevel="1" x14ac:dyDescent="0.3">
      <c r="L1" s="468" t="s">
        <v>264</v>
      </c>
      <c r="M1" s="468"/>
    </row>
    <row r="2" spans="1:13" hidden="1" outlineLevel="1" x14ac:dyDescent="0.25"/>
    <row r="3" spans="1:13" hidden="1" outlineLevel="1" x14ac:dyDescent="0.25"/>
    <row r="4" spans="1:13" ht="73.5" customHeight="1" collapsed="1" x14ac:dyDescent="0.25">
      <c r="A4" s="8"/>
      <c r="B4" s="8"/>
      <c r="C4" s="8"/>
      <c r="D4" s="8"/>
      <c r="E4" s="8"/>
      <c r="F4" s="8"/>
      <c r="G4" s="8"/>
      <c r="I4" s="8"/>
      <c r="J4" s="8"/>
      <c r="K4" s="416" t="s">
        <v>319</v>
      </c>
      <c r="L4" s="416"/>
      <c r="M4" s="416"/>
    </row>
    <row r="5" spans="1:13" x14ac:dyDescent="0.25">
      <c r="A5" s="9"/>
      <c r="B5" s="8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I6" s="8"/>
      <c r="J6" s="8"/>
      <c r="K6" s="8"/>
      <c r="L6" s="8"/>
      <c r="M6" s="8"/>
    </row>
    <row r="7" spans="1:13" x14ac:dyDescent="0.25">
      <c r="A7" s="417" t="s">
        <v>1</v>
      </c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1:13" x14ac:dyDescent="0.25">
      <c r="A8" s="417" t="s">
        <v>318</v>
      </c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</row>
    <row r="9" spans="1:13" x14ac:dyDescent="0.25">
      <c r="A9" s="9"/>
      <c r="B9" s="8"/>
      <c r="C9" s="8"/>
      <c r="D9" s="8"/>
      <c r="E9" s="8"/>
      <c r="F9" s="8"/>
      <c r="G9" s="8"/>
      <c r="I9" s="8"/>
      <c r="J9" s="8"/>
      <c r="K9" s="8"/>
      <c r="L9" s="8"/>
      <c r="M9" s="8"/>
    </row>
    <row r="10" spans="1:13" s="133" customFormat="1" ht="15.75" x14ac:dyDescent="0.25">
      <c r="A10" s="394" t="s">
        <v>14</v>
      </c>
      <c r="B10" s="394" t="s">
        <v>37</v>
      </c>
      <c r="C10" s="394" t="s">
        <v>20</v>
      </c>
      <c r="D10" s="394" t="s">
        <v>18</v>
      </c>
      <c r="E10" s="394"/>
      <c r="F10" s="394"/>
      <c r="G10" s="394"/>
      <c r="H10" s="198"/>
      <c r="I10" s="394"/>
      <c r="J10" s="394"/>
      <c r="K10" s="394"/>
      <c r="L10" s="394"/>
      <c r="M10" s="394" t="s">
        <v>39</v>
      </c>
    </row>
    <row r="11" spans="1:13" s="133" customFormat="1" ht="93" customHeight="1" x14ac:dyDescent="0.25">
      <c r="A11" s="394"/>
      <c r="B11" s="394"/>
      <c r="C11" s="394"/>
      <c r="D11" s="111" t="s">
        <v>20</v>
      </c>
      <c r="E11" s="111" t="s">
        <v>21</v>
      </c>
      <c r="F11" s="111" t="s">
        <v>22</v>
      </c>
      <c r="G11" s="111" t="s">
        <v>23</v>
      </c>
      <c r="H11" s="198"/>
      <c r="I11" s="256">
        <v>2026</v>
      </c>
      <c r="J11" s="256">
        <f>I11+1</f>
        <v>2027</v>
      </c>
      <c r="K11" s="256">
        <f>J11+1</f>
        <v>2028</v>
      </c>
      <c r="L11" s="111" t="s">
        <v>40</v>
      </c>
      <c r="M11" s="394"/>
    </row>
    <row r="12" spans="1:13" s="133" customFormat="1" ht="15.75" x14ac:dyDescent="0.25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98"/>
      <c r="I12" s="111">
        <v>8</v>
      </c>
      <c r="J12" s="111">
        <v>9</v>
      </c>
      <c r="K12" s="219">
        <v>10</v>
      </c>
      <c r="L12" s="111">
        <v>11</v>
      </c>
      <c r="M12" s="111">
        <v>12</v>
      </c>
    </row>
    <row r="13" spans="1:13" s="133" customFormat="1" ht="15.75" x14ac:dyDescent="0.25">
      <c r="A13" s="421" t="s">
        <v>277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3"/>
    </row>
    <row r="14" spans="1:13" s="134" customFormat="1" ht="18.75" customHeight="1" x14ac:dyDescent="0.25">
      <c r="A14" s="450" t="s">
        <v>111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2"/>
    </row>
    <row r="15" spans="1:13" s="134" customFormat="1" ht="18" customHeight="1" x14ac:dyDescent="0.25">
      <c r="A15" s="450" t="s">
        <v>112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2"/>
    </row>
    <row r="16" spans="1:13" s="138" customFormat="1" ht="67.5" customHeight="1" x14ac:dyDescent="0.25">
      <c r="A16" s="403" t="s">
        <v>3</v>
      </c>
      <c r="B16" s="445" t="s">
        <v>399</v>
      </c>
      <c r="C16" s="364" t="s">
        <v>321</v>
      </c>
      <c r="D16" s="198">
        <v>281</v>
      </c>
      <c r="E16" s="365" t="s">
        <v>45</v>
      </c>
      <c r="F16" s="378" t="s">
        <v>135</v>
      </c>
      <c r="G16" s="198">
        <v>244</v>
      </c>
      <c r="H16" s="198">
        <v>1</v>
      </c>
      <c r="I16" s="366">
        <f t="shared" ref="I16:J16" si="0">10600+5000</f>
        <v>15600</v>
      </c>
      <c r="J16" s="366">
        <f t="shared" si="0"/>
        <v>15600</v>
      </c>
      <c r="K16" s="366">
        <v>15600</v>
      </c>
      <c r="L16" s="367">
        <f>SUM(I16:K16)</f>
        <v>46800</v>
      </c>
      <c r="M16" s="403" t="s">
        <v>95</v>
      </c>
    </row>
    <row r="17" spans="1:20" s="138" customFormat="1" ht="27" customHeight="1" x14ac:dyDescent="0.25">
      <c r="A17" s="405"/>
      <c r="B17" s="446"/>
      <c r="C17" s="60" t="s">
        <v>174</v>
      </c>
      <c r="D17" s="48" t="s">
        <v>25</v>
      </c>
      <c r="E17" s="48" t="s">
        <v>25</v>
      </c>
      <c r="F17" s="48" t="s">
        <v>25</v>
      </c>
      <c r="G17" s="48" t="s">
        <v>25</v>
      </c>
      <c r="H17" s="129"/>
      <c r="I17" s="49">
        <f>I16</f>
        <v>15600</v>
      </c>
      <c r="J17" s="49">
        <f t="shared" ref="J17:L17" si="1">J16</f>
        <v>15600</v>
      </c>
      <c r="K17" s="49">
        <f t="shared" si="1"/>
        <v>15600</v>
      </c>
      <c r="L17" s="49">
        <f t="shared" si="1"/>
        <v>46800</v>
      </c>
      <c r="M17" s="405"/>
      <c r="N17" s="325">
        <f>I17+J17+K17-L17</f>
        <v>0</v>
      </c>
    </row>
    <row r="18" spans="1:20" s="138" customFormat="1" ht="15.75" outlineLevel="1" x14ac:dyDescent="0.25">
      <c r="A18" s="421" t="s">
        <v>404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3"/>
      <c r="Q18" s="403" t="s">
        <v>95</v>
      </c>
    </row>
    <row r="19" spans="1:20" s="138" customFormat="1" ht="47.25" outlineLevel="1" x14ac:dyDescent="0.25">
      <c r="A19" s="394" t="s">
        <v>290</v>
      </c>
      <c r="B19" s="481" t="s">
        <v>402</v>
      </c>
      <c r="C19" s="320" t="s">
        <v>321</v>
      </c>
      <c r="D19" s="321">
        <v>281</v>
      </c>
      <c r="E19" s="477" t="s">
        <v>163</v>
      </c>
      <c r="F19" s="477" t="s">
        <v>241</v>
      </c>
      <c r="G19" s="477" t="s">
        <v>193</v>
      </c>
      <c r="H19" s="252"/>
      <c r="I19" s="253">
        <v>0</v>
      </c>
      <c r="J19" s="253">
        <v>0</v>
      </c>
      <c r="K19" s="254">
        <v>0</v>
      </c>
      <c r="L19" s="254">
        <v>0</v>
      </c>
      <c r="M19" s="475" t="s">
        <v>403</v>
      </c>
      <c r="Q19" s="404"/>
    </row>
    <row r="20" spans="1:20" s="138" customFormat="1" ht="68.25" customHeight="1" outlineLevel="1" x14ac:dyDescent="0.25">
      <c r="A20" s="394"/>
      <c r="B20" s="481"/>
      <c r="C20" s="320" t="s">
        <v>326</v>
      </c>
      <c r="D20" s="321">
        <v>282</v>
      </c>
      <c r="E20" s="478"/>
      <c r="F20" s="479"/>
      <c r="G20" s="478"/>
      <c r="H20" s="252"/>
      <c r="I20" s="253">
        <v>0</v>
      </c>
      <c r="J20" s="253">
        <v>0</v>
      </c>
      <c r="K20" s="254">
        <v>0</v>
      </c>
      <c r="L20" s="254">
        <v>0</v>
      </c>
      <c r="M20" s="480"/>
      <c r="Q20" s="405"/>
    </row>
    <row r="21" spans="1:20" s="138" customFormat="1" ht="47.25" outlineLevel="1" x14ac:dyDescent="0.25">
      <c r="A21" s="394"/>
      <c r="B21" s="481" t="s">
        <v>320</v>
      </c>
      <c r="C21" s="320" t="s">
        <v>321</v>
      </c>
      <c r="D21" s="321">
        <v>281</v>
      </c>
      <c r="E21" s="478"/>
      <c r="F21" s="477" t="s">
        <v>242</v>
      </c>
      <c r="G21" s="478"/>
      <c r="H21" s="252"/>
      <c r="I21" s="253">
        <v>0</v>
      </c>
      <c r="J21" s="253" t="s">
        <v>405</v>
      </c>
      <c r="K21" s="254">
        <v>0</v>
      </c>
      <c r="L21" s="254">
        <v>0</v>
      </c>
      <c r="M21" s="480"/>
    </row>
    <row r="22" spans="1:20" s="138" customFormat="1" ht="63" customHeight="1" outlineLevel="1" x14ac:dyDescent="0.25">
      <c r="A22" s="394"/>
      <c r="B22" s="481"/>
      <c r="C22" s="320" t="s">
        <v>326</v>
      </c>
      <c r="D22" s="321">
        <v>282</v>
      </c>
      <c r="E22" s="479"/>
      <c r="F22" s="479"/>
      <c r="G22" s="479"/>
      <c r="H22" s="252"/>
      <c r="I22" s="253">
        <v>0</v>
      </c>
      <c r="J22" s="253">
        <v>0</v>
      </c>
      <c r="K22" s="254">
        <v>0</v>
      </c>
      <c r="L22" s="254">
        <v>0</v>
      </c>
      <c r="M22" s="476"/>
    </row>
    <row r="23" spans="1:20" s="138" customFormat="1" ht="15.75" outlineLevel="1" x14ac:dyDescent="0.25">
      <c r="A23" s="394"/>
      <c r="B23" s="481"/>
      <c r="C23" s="48" t="s">
        <v>174</v>
      </c>
      <c r="D23" s="48" t="s">
        <v>25</v>
      </c>
      <c r="E23" s="48" t="s">
        <v>25</v>
      </c>
      <c r="F23" s="48" t="s">
        <v>25</v>
      </c>
      <c r="G23" s="48" t="s">
        <v>25</v>
      </c>
      <c r="H23" s="129"/>
      <c r="I23" s="49">
        <f t="shared" ref="I23" si="2">I19+I21</f>
        <v>0</v>
      </c>
      <c r="J23" s="49">
        <f>SUM(J19:J22)</f>
        <v>0</v>
      </c>
      <c r="K23" s="49">
        <v>0</v>
      </c>
      <c r="L23" s="51">
        <f>SUM(I23:K23)</f>
        <v>0</v>
      </c>
      <c r="M23" s="162"/>
    </row>
    <row r="24" spans="1:20" x14ac:dyDescent="0.25">
      <c r="A24" s="45"/>
      <c r="B24" s="46" t="s">
        <v>78</v>
      </c>
      <c r="C24" s="45" t="s">
        <v>25</v>
      </c>
      <c r="D24" s="45" t="s">
        <v>25</v>
      </c>
      <c r="E24" s="45" t="s">
        <v>25</v>
      </c>
      <c r="F24" s="45" t="s">
        <v>25</v>
      </c>
      <c r="G24" s="45" t="s">
        <v>25</v>
      </c>
      <c r="H24" s="200"/>
      <c r="I24" s="47">
        <f>I16</f>
        <v>15600</v>
      </c>
      <c r="J24" s="47">
        <f t="shared" ref="J24:L24" si="3">J16</f>
        <v>15600</v>
      </c>
      <c r="K24" s="47">
        <f t="shared" si="3"/>
        <v>15600</v>
      </c>
      <c r="L24" s="47">
        <f t="shared" si="3"/>
        <v>46800</v>
      </c>
      <c r="M24" s="52" t="s">
        <v>25</v>
      </c>
      <c r="T24" s="127" t="s">
        <v>149</v>
      </c>
    </row>
    <row r="25" spans="1:20" x14ac:dyDescent="0.25">
      <c r="F25" s="140"/>
      <c r="G25" s="140"/>
      <c r="H25" s="140"/>
    </row>
  </sheetData>
  <autoFilter ref="A10:M1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26">
    <mergeCell ref="C10:C11"/>
    <mergeCell ref="D10:G10"/>
    <mergeCell ref="I10:L10"/>
    <mergeCell ref="L1:M1"/>
    <mergeCell ref="K4:M4"/>
    <mergeCell ref="Q18:Q20"/>
    <mergeCell ref="B16:B17"/>
    <mergeCell ref="A16:A17"/>
    <mergeCell ref="M16:M17"/>
    <mergeCell ref="A15:M15"/>
    <mergeCell ref="A14:M14"/>
    <mergeCell ref="A7:M7"/>
    <mergeCell ref="A18:L18"/>
    <mergeCell ref="G19:G22"/>
    <mergeCell ref="M19:M22"/>
    <mergeCell ref="A13:M13"/>
    <mergeCell ref="A8:M8"/>
    <mergeCell ref="M10:M11"/>
    <mergeCell ref="A10:A11"/>
    <mergeCell ref="B21:B23"/>
    <mergeCell ref="A19:A23"/>
    <mergeCell ref="B19:B20"/>
    <mergeCell ref="F19:F20"/>
    <mergeCell ref="F21:F22"/>
    <mergeCell ref="E19:E22"/>
    <mergeCell ref="B10:B11"/>
  </mergeCells>
  <pageMargins left="0.78740157480314965" right="0.78740157480314965" top="1.1811023622047245" bottom="0.39370078740157483" header="0.31496062992125984" footer="0.31496062992125984"/>
  <pageSetup paperSize="9" scale="66" firstPageNumber="43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2026-01-27T04:25:55Z</cp:lastPrinted>
  <dcterms:created xsi:type="dcterms:W3CDTF">2016-10-20T04:37:12Z</dcterms:created>
  <dcterms:modified xsi:type="dcterms:W3CDTF">2026-03-10T10:00:56Z</dcterms:modified>
</cp:coreProperties>
</file>